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6925" windowHeight="9210" activeTab="0"/>
  </bookViews>
  <sheets>
    <sheet name="% Fijo retencion" sheetId="1" r:id="rId1"/>
    <sheet name="Aplicacion mensual" sheetId="2" r:id="rId2"/>
  </sheets>
  <definedNames>
    <definedName name="_xlnm.Print_Area" localSheetId="0">'% Fijo retencion'!$A$1:$H$62</definedName>
  </definedNames>
  <calcPr fullCalcOnLoad="1"/>
</workbook>
</file>

<file path=xl/comments1.xml><?xml version="1.0" encoding="utf-8"?>
<comments xmlns="http://schemas.openxmlformats.org/spreadsheetml/2006/main">
  <authors>
    <author>Gateway</author>
    <author>scastillo</author>
    <author>demo Diego Sanchez</author>
  </authors>
  <commentList>
    <comment ref="C37" authorId="0">
      <text>
        <r>
          <rPr>
            <b/>
            <sz val="9"/>
            <color indexed="8"/>
            <rFont val="Tahoma"/>
            <family val="2"/>
          </rPr>
          <t xml:space="preserve">25% del subtotal 4 Limitadas a 240 uvt, Art.206 Numeral 10. El cálculo de esta renta exenta se efectuará una vez se detraiga del valor total de los pagos laborales recibidos por el trabajador, </t>
        </r>
        <r>
          <rPr>
            <b/>
            <sz val="9"/>
            <color indexed="10"/>
            <rFont val="Tahoma"/>
            <family val="2"/>
          </rPr>
          <t xml:space="preserve">los ingresos no constitutivos de renta, las deducciones y las demás rentas exentas </t>
        </r>
        <r>
          <rPr>
            <b/>
            <sz val="9"/>
            <color indexed="8"/>
            <rFont val="Tahoma"/>
            <family val="2"/>
          </rPr>
          <t xml:space="preserve">diferentes a la establecida en el presente numeral. </t>
        </r>
      </text>
    </comment>
    <comment ref="C23" authorId="1">
      <text>
        <r>
          <rPr>
            <sz val="12"/>
            <color indexed="8"/>
            <rFont val="Arial"/>
            <family val="2"/>
          </rPr>
          <t>Sumatoria de los intereses del certificado de la entidad financiera dividio entre el número de meses. No puede exceder 100 UVT ($3.427.000 Año 2019)</t>
        </r>
      </text>
    </comment>
    <comment ref="C24" authorId="0">
      <text>
        <r>
          <rPr>
            <sz val="10"/>
            <color indexed="8"/>
            <rFont val="Arial"/>
            <family val="2"/>
          </rPr>
          <t xml:space="preserve">Los hijos del contribuyente que tengan hasta 18 años de edad y dependan económicamente del contribuyente.
</t>
        </r>
        <r>
          <rPr>
            <sz val="10"/>
            <color indexed="8"/>
            <rFont val="Arial"/>
            <family val="2"/>
          </rPr>
          <t xml:space="preserve">
</t>
        </r>
        <r>
          <rPr>
            <sz val="10"/>
            <color indexed="8"/>
            <rFont val="Arial"/>
            <family val="2"/>
          </rPr>
          <t xml:space="preserve">Los hijos del contribuyente con edad entre 18 y 23 años, cuando el padre o madre contribuyente persona natural se encuentre financiando su educación en instituciones formales de educación superior certificadas por el ICFES o la autoridad oficial correspondiente; o en los programas técnicos de educación no formal debidamente acreditados por la autoridad competente.
</t>
        </r>
        <r>
          <rPr>
            <sz val="10"/>
            <color indexed="8"/>
            <rFont val="Arial"/>
            <family val="2"/>
          </rPr>
          <t xml:space="preserve">
</t>
        </r>
        <r>
          <rPr>
            <sz val="10"/>
            <color indexed="8"/>
            <rFont val="Arial"/>
            <family val="2"/>
          </rPr>
          <t xml:space="preserve">Los hijos del contribuyente mayores de 23 años que se encuentren en situación de dependencia originada en factores físicos o psicológicos que sean certificados por Medicina Legal.
</t>
        </r>
        <r>
          <rPr>
            <sz val="10"/>
            <color indexed="8"/>
            <rFont val="Arial"/>
            <family val="2"/>
          </rPr>
          <t xml:space="preserve">
</t>
        </r>
        <r>
          <rPr>
            <sz val="10"/>
            <color indexed="8"/>
            <rFont val="Arial"/>
            <family val="2"/>
          </rPr>
          <t xml:space="preserve">El cónyuge o compañero permanente del contribuyente que se encuentre en situación de dependencia sea por ausencia de ingresos o ingresos en el año menores a doscientos sesenta (260) UVT, $8.620.560 certificada por contador público, o por dependencia originada en factores físicos o psicológicos que sean certificados por Medicina Legal, y,
</t>
        </r>
        <r>
          <rPr>
            <sz val="10"/>
            <color indexed="8"/>
            <rFont val="Arial"/>
            <family val="2"/>
          </rPr>
          <t xml:space="preserve">
</t>
        </r>
        <r>
          <rPr>
            <sz val="10"/>
            <color indexed="8"/>
            <rFont val="Arial"/>
            <family val="2"/>
          </rPr>
          <t>Los padres y los hermanos del contribuyente que se encuentren en situación de dependencia, sea por ausencia de ingresos o ingresos en el año menores a doscientas sesenta (260) UVT,$8.620.560 certificada por contador público, o por dependencia originada en factores físicos o psicológicos que sean certificados por Medicina Legal.</t>
        </r>
      </text>
    </comment>
    <comment ref="C25" authorId="2">
      <text>
        <r>
          <rPr>
            <b/>
            <sz val="12"/>
            <color indexed="8"/>
            <rFont val="Arial"/>
            <family val="2"/>
          </rPr>
          <t xml:space="preserve">a. Los pagos efectuados por contratos de prestación de servicios a empresas de medicina prepagada vigiladas por la Superintendencia Nacional de Salud, que impliquen protección al trabajador, su cónyuge, sus hijos y/o dependientes.
</t>
        </r>
        <r>
          <rPr>
            <b/>
            <sz val="12"/>
            <color indexed="8"/>
            <rFont val="Arial"/>
            <family val="2"/>
          </rPr>
          <t xml:space="preserve">
</t>
        </r>
        <r>
          <rPr>
            <b/>
            <sz val="12"/>
            <color indexed="8"/>
            <rFont val="Arial"/>
            <family val="2"/>
          </rPr>
          <t>b. Los pagos efectuados por seguros de salud, expedidos por compañías de seguros vigiladas por la Superintendencia Financiera de Colombia, con la misma limitación del literal anterior.</t>
        </r>
      </text>
    </comment>
    <comment ref="C22" authorId="2">
      <text>
        <r>
          <rPr>
            <b/>
            <sz val="9"/>
            <color indexed="8"/>
            <rFont val="Calibri"/>
            <family val="2"/>
          </rPr>
          <t>Decreto 099 de 2012 Art. 2 par. 2 Cuando se trate del Procedimiento de Retención Número dos, el valor que sea procedente disminuir mensualmente, determinado en la forma señalada en el presente artículo, (DEPURACION DE LA BASE DEL CALCULO DE RETENCiÓN.) se tendrá en cuenta tanto para calcular el porcentaje fijo de retención semestral, como para determinar la base sometida a retención.</t>
        </r>
      </text>
    </comment>
  </commentList>
</comments>
</file>

<file path=xl/comments2.xml><?xml version="1.0" encoding="utf-8"?>
<comments xmlns="http://schemas.openxmlformats.org/spreadsheetml/2006/main">
  <authors>
    <author>scastillo</author>
    <author>Gateway</author>
    <author>demo Diego Sanchez</author>
  </authors>
  <commentList>
    <comment ref="B24" authorId="0">
      <text>
        <r>
          <rPr>
            <sz val="12"/>
            <color indexed="8"/>
            <rFont val="Arial"/>
            <family val="2"/>
          </rPr>
          <t xml:space="preserve">Sumatoria de los intereses del certificado de la entidad financiera dividio entre el número de meses. No puede exceder 100 UVT.
</t>
        </r>
      </text>
    </comment>
    <comment ref="B25" authorId="1">
      <text>
        <r>
          <rPr>
            <sz val="10"/>
            <color indexed="8"/>
            <rFont val="Arial"/>
            <family val="2"/>
          </rPr>
          <t xml:space="preserve">Los hijos del contribuyente que tengan hasta 18 años de edad y dependan económicamente del contribuyente.
</t>
        </r>
        <r>
          <rPr>
            <sz val="10"/>
            <color indexed="8"/>
            <rFont val="Arial"/>
            <family val="2"/>
          </rPr>
          <t xml:space="preserve">
</t>
        </r>
        <r>
          <rPr>
            <sz val="10"/>
            <color indexed="8"/>
            <rFont val="Arial"/>
            <family val="2"/>
          </rPr>
          <t xml:space="preserve">Los hijos del contribuyente con edad entre 18 y 23 años, cuando el padre o madre contribuyente persona natural se encuentre financiando su educación en instituciones formales de educación superior certificadas por el ICFES o la autoridad oficial correspondiente; o en los programas técnicos de educación no formal debidamente acreditados por la autoridad competente.
</t>
        </r>
        <r>
          <rPr>
            <sz val="10"/>
            <color indexed="8"/>
            <rFont val="Arial"/>
            <family val="2"/>
          </rPr>
          <t xml:space="preserve">
</t>
        </r>
        <r>
          <rPr>
            <sz val="10"/>
            <color indexed="8"/>
            <rFont val="Arial"/>
            <family val="2"/>
          </rPr>
          <t xml:space="preserve">Los hijos del contribuyente mayores de 23 años que se encuentren en situación de dependencia originada en factores físicos o psicológicos que sean certificados por Medicina Legal.
</t>
        </r>
        <r>
          <rPr>
            <sz val="10"/>
            <color indexed="8"/>
            <rFont val="Arial"/>
            <family val="2"/>
          </rPr>
          <t xml:space="preserve">
</t>
        </r>
        <r>
          <rPr>
            <sz val="10"/>
            <color indexed="8"/>
            <rFont val="Arial"/>
            <family val="2"/>
          </rPr>
          <t xml:space="preserve">El cónyuge o compañero permanente del contribuyente que se encuentre en situación de dependencia sea por ausencia de ingresos o ingresos en el año menores a doscientos sesenta (260) UVT,  certificada por contador público, o por dependencia originada en factores físicos o psicológicos que sean certificados por Medicina Legal, y,
</t>
        </r>
        <r>
          <rPr>
            <sz val="10"/>
            <color indexed="8"/>
            <rFont val="Arial"/>
            <family val="2"/>
          </rPr>
          <t xml:space="preserve">
</t>
        </r>
        <r>
          <rPr>
            <sz val="10"/>
            <color indexed="8"/>
            <rFont val="Arial"/>
            <family val="2"/>
          </rPr>
          <t>Los padres y los hermanos del contribuyente que se encuentren en situación de dependencia, sea por ausencia de ingresos o ingresos en el año menores a doscientas sesenta (260) UVT, ) certificada por contador público, o por dependencia originada en factores físicos o psicológicos que sean certificados por Medicina Legal.</t>
        </r>
      </text>
    </comment>
    <comment ref="B26" authorId="2">
      <text>
        <r>
          <rPr>
            <b/>
            <sz val="12"/>
            <color indexed="8"/>
            <rFont val="Arial"/>
            <family val="2"/>
          </rPr>
          <t xml:space="preserve">a. Los pagos efectuados por contratos de prestación de servicios a empresas de medicina prepagada vigiladas por la Superintendencia Nacional de Salud, que impliquen protección al trabajador, su cónyuge, sus hijos y/o dependientes.
</t>
        </r>
        <r>
          <rPr>
            <b/>
            <sz val="12"/>
            <color indexed="8"/>
            <rFont val="Arial"/>
            <family val="2"/>
          </rPr>
          <t xml:space="preserve">
</t>
        </r>
        <r>
          <rPr>
            <b/>
            <sz val="12"/>
            <color indexed="8"/>
            <rFont val="Arial"/>
            <family val="2"/>
          </rPr>
          <t>b. Los pagos efectuados por seguros de salud, expedidos por compañías de seguros vigiladas por la Superintendencia Financiera de Colombia, con la misma limitación del literal anterior.</t>
        </r>
      </text>
    </comment>
    <comment ref="B35" authorId="1">
      <text>
        <r>
          <rPr>
            <b/>
            <sz val="9"/>
            <color indexed="8"/>
            <rFont val="Tahoma"/>
            <family val="2"/>
          </rPr>
          <t xml:space="preserve">25% del subtotal 4 Limitadas a240 uvt, Art. 206 Numeral 10. El cálculo de esta renta exenta se efectuará una vez se detraiga del valor total de los pagos laborales recibidos por el trabajador, </t>
        </r>
        <r>
          <rPr>
            <b/>
            <sz val="9"/>
            <color indexed="10"/>
            <rFont val="Tahoma"/>
            <family val="2"/>
          </rPr>
          <t xml:space="preserve">los ingresos no constitutivos de renta, las deducciones y las demás rentas exentas </t>
        </r>
        <r>
          <rPr>
            <b/>
            <sz val="9"/>
            <color indexed="8"/>
            <rFont val="Tahoma"/>
            <family val="2"/>
          </rPr>
          <t>diferentes a la establecida en el presente numeral.</t>
        </r>
      </text>
    </comment>
  </commentList>
</comments>
</file>

<file path=xl/sharedStrings.xml><?xml version="1.0" encoding="utf-8"?>
<sst xmlns="http://schemas.openxmlformats.org/spreadsheetml/2006/main" count="94" uniqueCount="81">
  <si>
    <t>Subtotal 1</t>
  </si>
  <si>
    <t>Subtotal 2</t>
  </si>
  <si>
    <t>Subtotal 3</t>
  </si>
  <si>
    <t>RENTAS EXENTAS</t>
  </si>
  <si>
    <t>Total Rentas Exentas</t>
  </si>
  <si>
    <t>Subtotal 4</t>
  </si>
  <si>
    <t>Subtotal 5</t>
  </si>
  <si>
    <t>DEDUCCIONES</t>
  </si>
  <si>
    <t>Total Deduciones</t>
  </si>
  <si>
    <t>Subtotal 6</t>
  </si>
  <si>
    <t>Ingreso Laboral Mensual Base para Retención en la Fuente</t>
  </si>
  <si>
    <t xml:space="preserve">Ingreso laboral gravado en UVT </t>
  </si>
  <si>
    <t>Tarifa Marginal</t>
  </si>
  <si>
    <t>Impuesto</t>
  </si>
  <si>
    <t>Hasta</t>
  </si>
  <si>
    <t>En adelante</t>
  </si>
  <si>
    <t>Ingreso laboral gravado en uvt</t>
  </si>
  <si>
    <t>xxxxxxxxxxxxxxxxxxxx</t>
  </si>
  <si>
    <t>NIT xxxxxxxxxxxxxxxxxxxx</t>
  </si>
  <si>
    <t>Empleado: XXXXXXXXXXXXXXXXXXXXXXXXXXXXXXXXXXX</t>
  </si>
  <si>
    <t>b. Aportes Voluntarios Empleador Fondo de Pensiones (Art 126 -1 E.T.)</t>
  </si>
  <si>
    <t>El Subtotal 5 se divide por 13 (O el numero de meses de vinculacion, en este caso cambiar formula por los meses que correspondan)</t>
  </si>
  <si>
    <t xml:space="preserve">MES: </t>
  </si>
  <si>
    <t>Fuente: www.accounter.co</t>
  </si>
  <si>
    <t>RETENCIÓN EN LA FUENTE SALARIOS</t>
  </si>
  <si>
    <t>Salario. (Excluir Cesantías e intereses de cesantias). Ver Concepto 38923 de 2013)</t>
  </si>
  <si>
    <t xml:space="preserve"> Aportes Voluntarios Empleador Fondo de Pensiones (Art 126 -1 E.T.)</t>
  </si>
  <si>
    <r>
      <t xml:space="preserve">Aportes a cuentas AFC (Art 126 - 4 E.T.) </t>
    </r>
    <r>
      <rPr>
        <b/>
        <i/>
        <sz val="10"/>
        <color indexed="17"/>
        <rFont val="Arial"/>
        <family val="2"/>
      </rPr>
      <t>La Sumatoria de los beneficios b y c, no pueden exceder del 30% del ingreso laboral o tributario del año y hasta un maximo de 3.800 UVT por año.  Art. 126-1 E.T.</t>
    </r>
  </si>
  <si>
    <t>Gastos de Entierro del Trabajador</t>
  </si>
  <si>
    <t>Gastos de Representación de algunos funcionarios oficiales</t>
  </si>
  <si>
    <t>Exenciones para miembros de las fuerzas armadas</t>
  </si>
  <si>
    <t>Calculo limite 40% sobre los ingresos no constitutivos de renta</t>
  </si>
  <si>
    <t>Total deducciones y rentas exentas</t>
  </si>
  <si>
    <t>Subtotal 5 Ajustado</t>
  </si>
  <si>
    <t xml:space="preserve">RETENCION EN LA FUENTE </t>
  </si>
  <si>
    <t>RETENCIÓN SALARIOS</t>
  </si>
  <si>
    <t>Ingresos laborales</t>
  </si>
  <si>
    <t>INGRESOS NO CONSTITUTIVOS DE RENTA</t>
  </si>
  <si>
    <t>Total Ingresos no constitutivos</t>
  </si>
  <si>
    <t>Cifra control 40% Deduciones y rentas exentas Maximo</t>
  </si>
  <si>
    <t>Total deduciones y rentas exentas</t>
  </si>
  <si>
    <t xml:space="preserve">c. Aportes a cuentas AFC (Art 126 - 4 E.T.) </t>
  </si>
  <si>
    <t>Porcentaje fijo retención</t>
  </si>
  <si>
    <t>Retencion en la fuente mensual</t>
  </si>
  <si>
    <t>4. Aportes voluntarios a Fondo de pensiones obligatorias.</t>
  </si>
  <si>
    <t>EMPRESA ABC SAS</t>
  </si>
  <si>
    <t>Indemnizaciones por enfermedad, maternidad o accidente de trabajo</t>
  </si>
  <si>
    <t>Renta de Trabajo Exenta (25%) Maximo 2.880 Uvt $98.697.600</t>
  </si>
  <si>
    <t>Incentivo</t>
  </si>
  <si>
    <t>Bonificación no constitutiva de salario</t>
  </si>
  <si>
    <t>Auxilio de vivienda</t>
  </si>
  <si>
    <t>Bono (En efectivo)</t>
  </si>
  <si>
    <t>Aporte vountario AFP</t>
  </si>
  <si>
    <t>1. Aportes obligatorios a salud. Promedio año anterior. (Tope max 25 SMMLV)</t>
  </si>
  <si>
    <t>2. Aportes a fondos de pensiones. (Tope max 25 SMMLV)</t>
  </si>
  <si>
    <t>3. Fondo solidaridad pensional. (Tope max 25 SMMLV)</t>
  </si>
  <si>
    <t>Maximo 5040 UVT</t>
  </si>
  <si>
    <t>Salario</t>
  </si>
  <si>
    <t>Incentivo vivienda</t>
  </si>
  <si>
    <t>1. Aportes obligatorios a Pension  (Art. 55 Estatuto Tributario)</t>
  </si>
  <si>
    <t>2. Fondo de solidaridad Pensional</t>
  </si>
  <si>
    <t>3. Aportes obligatorios a salud. (Art. 56 Estatuto Tributario)</t>
  </si>
  <si>
    <t xml:space="preserve">Maximo 420 UVT </t>
  </si>
  <si>
    <t>Retencion por aplicar</t>
  </si>
  <si>
    <t>(Ingreso laboral gravado expresado en UVT menos 95 UVT)*19%</t>
  </si>
  <si>
    <t>(Ingreso laboral gravado expresado en UVT menos 150 UVT)*28% más 10 UVT</t>
  </si>
  <si>
    <t>(Ingreso laboral gravado expresado en UVT menos 360 UVT)* 33% más 69 UVT</t>
  </si>
  <si>
    <t>(Ingreso laboral gravado expresado en UVT menos 640 UVT)*35% más 162 UVT</t>
  </si>
  <si>
    <t>(Ingreso laboral gravado expresado en UVT menos 945 UVT)*37% más 268 UVT</t>
  </si>
  <si>
    <t>(Ingreso laboral gravado expresado en UVT menos 2300 UVT)*39% más 770 UVT</t>
  </si>
  <si>
    <t>MES XX 2021</t>
  </si>
  <si>
    <t>UVT 2021</t>
  </si>
  <si>
    <t>PROCEDIMIENTO 2 Primer semestre 2021</t>
  </si>
  <si>
    <t>Retención Salarios. (Pagos comprendidos de Junio de 2020 a Mayo de 2021).</t>
  </si>
  <si>
    <t>(-) INGRESOS QUE NO CONSTITUYEN INGRESO PARA EL TRABAJADOR (Pagos comprendidos de Junio de 2020 a Mayo de 2021).</t>
  </si>
  <si>
    <t>DEDUCCIONES. (Pagos comprendidos de Junio de 2020 a Mayo de 2021).</t>
  </si>
  <si>
    <t>RENTAS EXENTAS (Pagos comprendidos de Junio de 2020 a Mayo de 2021).</t>
  </si>
  <si>
    <t>Porcentaje Fijo de Retencion a aplicar 6 meses siguientes. (Julio - Diciembre 2021)</t>
  </si>
  <si>
    <r>
      <t xml:space="preserve">1. Pago intereses de vivienda o Costo Financiero Leasing Habitacional. </t>
    </r>
    <r>
      <rPr>
        <b/>
        <i/>
        <sz val="10"/>
        <color indexed="17"/>
        <rFont val="Arial"/>
        <family val="2"/>
      </rPr>
      <t>Limite maximo 100 UVT x 12; Dcto 099 de 2013. $43.560.000 Efectuados en el año gravable inmediatamente anterior Concepto 38923 25 Junio de 2013</t>
    </r>
  </si>
  <si>
    <r>
      <t xml:space="preserve">2. Deducción por dependientes (Ver Art. 387 E.T.) </t>
    </r>
    <r>
      <rPr>
        <b/>
        <i/>
        <sz val="10"/>
        <color indexed="17"/>
        <rFont val="Arial"/>
        <family val="2"/>
      </rPr>
      <t>No puede exceder del 10% del ingreso bruto del trabajador y maximo 32 UVT mensuales. (Anual $13.942.000)</t>
    </r>
  </si>
  <si>
    <r>
      <t xml:space="preserve">3. Pagos Por Salud medicina prepagada. </t>
    </r>
    <r>
      <rPr>
        <b/>
        <i/>
        <sz val="10"/>
        <color indexed="17"/>
        <rFont val="Arial"/>
        <family val="2"/>
      </rPr>
      <t>No puede Exceder 16 Uvt Mensuales. (Anual $6.971.000)</t>
    </r>
  </si>
</sst>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_ ;_ * \-#,##0_ ;_ * &quot;-&quot;??_ ;_ @_ "/>
    <numFmt numFmtId="188" formatCode="&quot;$&quot;\ #,##0;[Red]&quot;$&quot;\ \-#,##0"/>
    <numFmt numFmtId="189" formatCode="_(* #,##0_);_(* \(#,##0\);_(* &quot;-&quot;??_);_(@_)"/>
    <numFmt numFmtId="190" formatCode="_(* #,##0.0_);_(* \(#,##0.0\);_(* &quot;-&quot;??_);_(@_)"/>
    <numFmt numFmtId="191" formatCode="_(* #,##0.00_);_(* \(#,##0.00\);_(* &quot;-&quot;_);_(@_)"/>
    <numFmt numFmtId="192" formatCode="_(* #,##0.0_);_(* \(#,##0.0\);_(* &quot;-&quot;_);_(@_)"/>
    <numFmt numFmtId="193" formatCode="_ &quot;$&quot;\ * #,##0.0_ ;_ &quot;$&quot;\ * \-#,##0.0_ ;_ &quot;$&quot;\ * &quot;-&quot;??_ ;_ @_ "/>
    <numFmt numFmtId="194" formatCode="_ &quot;$&quot;\ * #,##0.00_ ;_ &quot;$&quot;\ * \-#,##0.00_ ;_ &quot;$&quot;\ * &quot;-&quot;??_ ;_ @_ "/>
    <numFmt numFmtId="195" formatCode="0.000%"/>
    <numFmt numFmtId="196" formatCode="0.0%"/>
  </numFmts>
  <fonts count="61">
    <font>
      <sz val="11"/>
      <color theme="1"/>
      <name val="Calibri"/>
      <family val="2"/>
    </font>
    <font>
      <sz val="11"/>
      <color indexed="8"/>
      <name val="Calibri"/>
      <family val="2"/>
    </font>
    <font>
      <sz val="10"/>
      <name val="Arial"/>
      <family val="2"/>
    </font>
    <font>
      <b/>
      <sz val="10"/>
      <name val="Arial"/>
      <family val="2"/>
    </font>
    <font>
      <b/>
      <i/>
      <sz val="10"/>
      <name val="Arial"/>
      <family val="2"/>
    </font>
    <font>
      <sz val="8"/>
      <name val="Calibri"/>
      <family val="2"/>
    </font>
    <font>
      <b/>
      <i/>
      <sz val="10"/>
      <color indexed="17"/>
      <name val="Arial"/>
      <family val="2"/>
    </font>
    <font>
      <b/>
      <sz val="12"/>
      <name val="Arial"/>
      <family val="2"/>
    </font>
    <font>
      <b/>
      <sz val="9"/>
      <name val="Arial"/>
      <family val="2"/>
    </font>
    <font>
      <sz val="9"/>
      <name val="Arial"/>
      <family val="2"/>
    </font>
    <font>
      <b/>
      <sz val="12"/>
      <color indexed="8"/>
      <name val="Arial"/>
      <family val="2"/>
    </font>
    <font>
      <sz val="10"/>
      <color indexed="8"/>
      <name val="Arial"/>
      <family val="2"/>
    </font>
    <font>
      <sz val="12"/>
      <color indexed="8"/>
      <name val="Arial"/>
      <family val="2"/>
    </font>
    <font>
      <b/>
      <sz val="9"/>
      <color indexed="8"/>
      <name val="Tahoma"/>
      <family val="2"/>
    </font>
    <font>
      <b/>
      <sz val="9"/>
      <color indexed="10"/>
      <name val="Tahoma"/>
      <family val="2"/>
    </font>
    <font>
      <b/>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i/>
      <sz val="10"/>
      <color indexed="8"/>
      <name val="Arial"/>
      <family val="2"/>
    </font>
    <font>
      <b/>
      <i/>
      <sz val="8"/>
      <color indexed="8"/>
      <name val="Arial"/>
      <family val="2"/>
    </font>
    <font>
      <b/>
      <sz val="10"/>
      <color indexed="9"/>
      <name val="Arial"/>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i/>
      <sz val="10"/>
      <color theme="1"/>
      <name val="Arial"/>
      <family val="2"/>
    </font>
    <font>
      <b/>
      <i/>
      <sz val="8"/>
      <color theme="1"/>
      <name val="Arial"/>
      <family val="2"/>
    </font>
    <font>
      <b/>
      <sz val="10"/>
      <color theme="0"/>
      <name val="Arial"/>
      <family val="2"/>
    </font>
    <font>
      <b/>
      <sz val="12"/>
      <color theme="1"/>
      <name val="Calibri"/>
      <family val="2"/>
    </font>
    <font>
      <b/>
      <sz val="8"/>
      <name val="Calibri"/>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patternFill patternType="solid">
        <fgColor rgb="FFFFFF00"/>
        <bgColor indexed="64"/>
      </pattern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patternFill patternType="solid">
        <fgColor rgb="FF303C1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medium">
        <color indexed="8"/>
      </bottom>
    </border>
    <border>
      <left style="medium"/>
      <right>
        <color indexed="63"/>
      </right>
      <top style="medium">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thin"/>
      <top style="thin"/>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07">
    <xf numFmtId="0" fontId="0" fillId="0" borderId="0" xfId="0" applyFont="1" applyAlignment="1">
      <alignment/>
    </xf>
    <xf numFmtId="0" fontId="0" fillId="33" borderId="0" xfId="0" applyFill="1" applyAlignment="1">
      <alignment/>
    </xf>
    <xf numFmtId="186" fontId="2" fillId="33" borderId="0" xfId="51" applyNumberFormat="1" applyFont="1" applyFill="1" applyAlignment="1">
      <alignment/>
    </xf>
    <xf numFmtId="187" fontId="0" fillId="33" borderId="0" xfId="49" applyNumberFormat="1" applyFont="1" applyFill="1" applyAlignment="1">
      <alignment/>
    </xf>
    <xf numFmtId="186" fontId="2" fillId="33" borderId="0" xfId="51" applyNumberFormat="1" applyFont="1" applyFill="1" applyBorder="1" applyAlignment="1">
      <alignment vertical="center"/>
    </xf>
    <xf numFmtId="0" fontId="3" fillId="33" borderId="0" xfId="55" applyFont="1" applyFill="1" applyBorder="1" applyAlignment="1">
      <alignment vertical="center"/>
      <protection/>
    </xf>
    <xf numFmtId="0" fontId="3" fillId="33" borderId="0" xfId="55" applyFont="1" applyFill="1" applyAlignment="1">
      <alignment vertical="center"/>
      <protection/>
    </xf>
    <xf numFmtId="186" fontId="3" fillId="33" borderId="0" xfId="51" applyNumberFormat="1" applyFont="1" applyFill="1" applyBorder="1" applyAlignment="1">
      <alignment vertical="center"/>
    </xf>
    <xf numFmtId="0" fontId="3" fillId="4" borderId="10" xfId="0" applyFont="1" applyFill="1" applyBorder="1" applyAlignment="1">
      <alignment/>
    </xf>
    <xf numFmtId="186" fontId="2" fillId="4" borderId="11" xfId="51" applyNumberFormat="1" applyFont="1" applyFill="1" applyBorder="1" applyAlignment="1">
      <alignment/>
    </xf>
    <xf numFmtId="0" fontId="3" fillId="4" borderId="12" xfId="0" applyFont="1" applyFill="1" applyBorder="1" applyAlignment="1">
      <alignment/>
    </xf>
    <xf numFmtId="186" fontId="2" fillId="4" borderId="13" xfId="51" applyNumberFormat="1" applyFont="1" applyFill="1" applyBorder="1" applyAlignment="1">
      <alignment/>
    </xf>
    <xf numFmtId="0" fontId="2" fillId="33" borderId="0" xfId="55" applyFont="1" applyFill="1" applyBorder="1" applyAlignment="1">
      <alignment vertical="center" wrapText="1"/>
      <protection/>
    </xf>
    <xf numFmtId="175" fontId="0" fillId="33" borderId="0" xfId="50" applyFont="1" applyFill="1" applyAlignment="1">
      <alignment/>
    </xf>
    <xf numFmtId="175" fontId="3" fillId="33" borderId="0" xfId="50" applyFont="1" applyFill="1" applyAlignment="1">
      <alignment vertical="center"/>
    </xf>
    <xf numFmtId="175" fontId="0" fillId="33" borderId="0" xfId="50" applyFont="1" applyFill="1" applyAlignment="1">
      <alignment/>
    </xf>
    <xf numFmtId="0" fontId="0" fillId="33" borderId="0" xfId="0" applyFill="1" applyBorder="1" applyAlignment="1">
      <alignment/>
    </xf>
    <xf numFmtId="3" fontId="3" fillId="33" borderId="0" xfId="55" applyNumberFormat="1" applyFont="1" applyFill="1" applyBorder="1" applyAlignment="1">
      <alignment vertical="center"/>
      <protection/>
    </xf>
    <xf numFmtId="186" fontId="2" fillId="33" borderId="0" xfId="51" applyNumberFormat="1" applyFont="1" applyFill="1" applyBorder="1" applyAlignment="1">
      <alignment/>
    </xf>
    <xf numFmtId="187" fontId="46" fillId="33" borderId="0" xfId="46" applyNumberFormat="1" applyFill="1" applyAlignment="1">
      <alignment/>
    </xf>
    <xf numFmtId="186" fontId="0" fillId="33" borderId="0" xfId="0" applyNumberFormat="1" applyFill="1" applyAlignment="1">
      <alignment/>
    </xf>
    <xf numFmtId="0" fontId="3" fillId="33" borderId="0" xfId="55" applyFont="1" applyFill="1" applyBorder="1" applyAlignment="1">
      <alignment horizontal="left" vertical="center"/>
      <protection/>
    </xf>
    <xf numFmtId="186" fontId="2" fillId="33" borderId="0" xfId="51" applyNumberFormat="1" applyFont="1" applyFill="1" applyAlignment="1">
      <alignment horizontal="left"/>
    </xf>
    <xf numFmtId="3" fontId="3" fillId="33" borderId="0" xfId="55" applyNumberFormat="1" applyFont="1" applyFill="1" applyBorder="1" applyAlignment="1">
      <alignment horizontal="left" vertical="center"/>
      <protection/>
    </xf>
    <xf numFmtId="186" fontId="3" fillId="33" borderId="0" xfId="51" applyNumberFormat="1" applyFont="1" applyFill="1" applyBorder="1" applyAlignment="1">
      <alignment horizontal="center" vertical="center"/>
    </xf>
    <xf numFmtId="175" fontId="0" fillId="33" borderId="0" xfId="50" applyFont="1" applyFill="1" applyAlignment="1">
      <alignment/>
    </xf>
    <xf numFmtId="0" fontId="2" fillId="33" borderId="0" xfId="55" applyFont="1" applyFill="1" applyBorder="1" applyAlignment="1">
      <alignment horizontal="left" vertical="center" wrapText="1"/>
      <protection/>
    </xf>
    <xf numFmtId="187" fontId="2" fillId="33" borderId="0" xfId="49" applyNumberFormat="1" applyFont="1" applyFill="1" applyBorder="1" applyAlignment="1">
      <alignment vertical="center"/>
    </xf>
    <xf numFmtId="175" fontId="0" fillId="33" borderId="0" xfId="50" applyFont="1" applyFill="1" applyBorder="1" applyAlignment="1">
      <alignment/>
    </xf>
    <xf numFmtId="175" fontId="2" fillId="33" borderId="0" xfId="50" applyFont="1" applyFill="1" applyBorder="1" applyAlignment="1">
      <alignment vertical="center"/>
    </xf>
    <xf numFmtId="175" fontId="3" fillId="33" borderId="0" xfId="50" applyFont="1" applyFill="1" applyBorder="1" applyAlignment="1">
      <alignment vertical="center"/>
    </xf>
    <xf numFmtId="0" fontId="0" fillId="33" borderId="0" xfId="0" applyFill="1" applyBorder="1" applyAlignment="1">
      <alignment horizontal="left"/>
    </xf>
    <xf numFmtId="186" fontId="3" fillId="33" borderId="0" xfId="51" applyNumberFormat="1" applyFont="1" applyFill="1" applyBorder="1" applyAlignment="1">
      <alignment horizontal="left" vertical="center"/>
    </xf>
    <xf numFmtId="0" fontId="0" fillId="33" borderId="0" xfId="50" applyNumberFormat="1" applyFont="1" applyFill="1" applyBorder="1" applyAlignment="1">
      <alignment vertical="center" wrapText="1"/>
    </xf>
    <xf numFmtId="0" fontId="8" fillId="33" borderId="0" xfId="55" applyFont="1" applyFill="1" applyBorder="1" applyAlignment="1">
      <alignment vertical="center"/>
      <protection/>
    </xf>
    <xf numFmtId="186" fontId="9" fillId="33" borderId="0" xfId="51" applyNumberFormat="1" applyFont="1" applyFill="1" applyAlignment="1">
      <alignment/>
    </xf>
    <xf numFmtId="186" fontId="0" fillId="33" borderId="0" xfId="0" applyNumberFormat="1" applyFill="1" applyBorder="1" applyAlignment="1">
      <alignment/>
    </xf>
    <xf numFmtId="0" fontId="4" fillId="34" borderId="14" xfId="54" applyFont="1" applyFill="1" applyBorder="1" applyAlignment="1">
      <alignment horizontal="center" vertical="top" wrapText="1"/>
      <protection/>
    </xf>
    <xf numFmtId="0" fontId="4" fillId="35" borderId="15" xfId="54" applyFont="1" applyFill="1" applyBorder="1" applyAlignment="1">
      <alignment horizontal="center" vertical="top" wrapText="1"/>
      <protection/>
    </xf>
    <xf numFmtId="0" fontId="4" fillId="4" borderId="16" xfId="54" applyFont="1" applyFill="1" applyBorder="1" applyAlignment="1">
      <alignment horizontal="center" vertical="top" wrapText="1"/>
      <protection/>
    </xf>
    <xf numFmtId="9" fontId="4" fillId="4" borderId="17" xfId="54" applyNumberFormat="1" applyFont="1" applyFill="1" applyBorder="1" applyAlignment="1">
      <alignment horizontal="center" vertical="top" wrapText="1"/>
      <protection/>
    </xf>
    <xf numFmtId="175" fontId="0" fillId="4" borderId="18" xfId="50" applyFont="1" applyFill="1" applyBorder="1" applyAlignment="1">
      <alignment/>
    </xf>
    <xf numFmtId="0" fontId="4" fillId="4" borderId="19" xfId="54" applyFont="1" applyFill="1" applyBorder="1" applyAlignment="1">
      <alignment horizontal="center" vertical="top" wrapText="1"/>
      <protection/>
    </xf>
    <xf numFmtId="9" fontId="56" fillId="4" borderId="20" xfId="54" applyNumberFormat="1" applyFont="1" applyFill="1" applyBorder="1" applyAlignment="1">
      <alignment horizontal="center" vertical="top" wrapText="1"/>
      <protection/>
    </xf>
    <xf numFmtId="175" fontId="0" fillId="4" borderId="21" xfId="50" applyFont="1" applyFill="1" applyBorder="1" applyAlignment="1">
      <alignment/>
    </xf>
    <xf numFmtId="0" fontId="4" fillId="4" borderId="22" xfId="54" applyFont="1" applyFill="1" applyBorder="1" applyAlignment="1">
      <alignment horizontal="center" vertical="top" wrapText="1"/>
      <protection/>
    </xf>
    <xf numFmtId="9" fontId="56" fillId="4" borderId="23" xfId="54" applyNumberFormat="1" applyFont="1" applyFill="1" applyBorder="1" applyAlignment="1">
      <alignment horizontal="center" vertical="top" wrapText="1"/>
      <protection/>
    </xf>
    <xf numFmtId="0" fontId="4" fillId="4" borderId="24" xfId="54" applyFont="1" applyFill="1" applyBorder="1" applyAlignment="1">
      <alignment horizontal="center" vertical="top" wrapText="1"/>
      <protection/>
    </xf>
    <xf numFmtId="9" fontId="56" fillId="4" borderId="25" xfId="54" applyNumberFormat="1" applyFont="1" applyFill="1" applyBorder="1" applyAlignment="1">
      <alignment horizontal="center" vertical="top" wrapText="1"/>
      <protection/>
    </xf>
    <xf numFmtId="175" fontId="0" fillId="4" borderId="26" xfId="50" applyFont="1" applyFill="1" applyBorder="1" applyAlignment="1">
      <alignment/>
    </xf>
    <xf numFmtId="0" fontId="2" fillId="4" borderId="19" xfId="55" applyFont="1" applyFill="1" applyBorder="1" applyAlignment="1">
      <alignment horizontal="left" vertical="center" wrapText="1"/>
      <protection/>
    </xf>
    <xf numFmtId="0" fontId="2" fillId="4" borderId="20" xfId="55" applyFont="1" applyFill="1" applyBorder="1" applyAlignment="1">
      <alignment horizontal="left" vertical="center" wrapText="1"/>
      <protection/>
    </xf>
    <xf numFmtId="0" fontId="3" fillId="4" borderId="19" xfId="55" applyFont="1" applyFill="1" applyBorder="1" applyAlignment="1">
      <alignment horizontal="left" vertical="center"/>
      <protection/>
    </xf>
    <xf numFmtId="0" fontId="3" fillId="4" borderId="20" xfId="55" applyFont="1" applyFill="1" applyBorder="1" applyAlignment="1">
      <alignment horizontal="left" vertical="center"/>
      <protection/>
    </xf>
    <xf numFmtId="0" fontId="3" fillId="4" borderId="22" xfId="55" applyFont="1" applyFill="1" applyBorder="1" applyAlignment="1">
      <alignment horizontal="left" vertical="center"/>
      <protection/>
    </xf>
    <xf numFmtId="0" fontId="3" fillId="4" borderId="23" xfId="55" applyFont="1" applyFill="1" applyBorder="1" applyAlignment="1">
      <alignment horizontal="left" vertical="center"/>
      <protection/>
    </xf>
    <xf numFmtId="0" fontId="2" fillId="4" borderId="16" xfId="55" applyFont="1" applyFill="1" applyBorder="1" applyAlignment="1">
      <alignment horizontal="left" vertical="center"/>
      <protection/>
    </xf>
    <xf numFmtId="0" fontId="2" fillId="4" borderId="17" xfId="55" applyFont="1" applyFill="1" applyBorder="1" applyAlignment="1">
      <alignment horizontal="left" vertical="center"/>
      <protection/>
    </xf>
    <xf numFmtId="0" fontId="2" fillId="4" borderId="19" xfId="55" applyFont="1" applyFill="1" applyBorder="1" applyAlignment="1">
      <alignment horizontal="left" vertical="center"/>
      <protection/>
    </xf>
    <xf numFmtId="0" fontId="2" fillId="4" borderId="20" xfId="55" applyFont="1" applyFill="1" applyBorder="1" applyAlignment="1">
      <alignment horizontal="left" vertical="center"/>
      <protection/>
    </xf>
    <xf numFmtId="0" fontId="2" fillId="4" borderId="27" xfId="55" applyFont="1" applyFill="1" applyBorder="1" applyAlignment="1">
      <alignment horizontal="left" vertical="center"/>
      <protection/>
    </xf>
    <xf numFmtId="0" fontId="2" fillId="4" borderId="28" xfId="55" applyFont="1" applyFill="1" applyBorder="1" applyAlignment="1">
      <alignment horizontal="left" vertical="center"/>
      <protection/>
    </xf>
    <xf numFmtId="0" fontId="2" fillId="4" borderId="22" xfId="55" applyFont="1" applyFill="1" applyBorder="1" applyAlignment="1">
      <alignment horizontal="left" vertical="center" wrapText="1"/>
      <protection/>
    </xf>
    <xf numFmtId="0" fontId="2" fillId="4" borderId="23" xfId="55" applyFont="1" applyFill="1" applyBorder="1" applyAlignment="1">
      <alignment horizontal="left" vertical="center" wrapText="1"/>
      <protection/>
    </xf>
    <xf numFmtId="0" fontId="3" fillId="4" borderId="29" xfId="55" applyFont="1" applyFill="1" applyBorder="1" applyAlignment="1">
      <alignment horizontal="left" vertical="center"/>
      <protection/>
    </xf>
    <xf numFmtId="0" fontId="3" fillId="4" borderId="30" xfId="55" applyFont="1" applyFill="1" applyBorder="1" applyAlignment="1">
      <alignment horizontal="left" vertical="center"/>
      <protection/>
    </xf>
    <xf numFmtId="0" fontId="2" fillId="4" borderId="16" xfId="55" applyFont="1" applyFill="1" applyBorder="1" applyAlignment="1">
      <alignment horizontal="left" vertical="center" wrapText="1"/>
      <protection/>
    </xf>
    <xf numFmtId="0" fontId="2" fillId="4" borderId="17" xfId="55" applyFont="1" applyFill="1" applyBorder="1" applyAlignment="1">
      <alignment horizontal="left" vertical="center" wrapText="1"/>
      <protection/>
    </xf>
    <xf numFmtId="0" fontId="0" fillId="33" borderId="0" xfId="0" applyFill="1" applyAlignment="1">
      <alignment horizontal="left"/>
    </xf>
    <xf numFmtId="0" fontId="3" fillId="33" borderId="0" xfId="0" applyFont="1" applyFill="1" applyBorder="1" applyAlignment="1">
      <alignment horizontal="center"/>
    </xf>
    <xf numFmtId="186" fontId="2" fillId="4" borderId="31" xfId="51" applyNumberFormat="1" applyFont="1" applyFill="1" applyBorder="1" applyAlignment="1">
      <alignment horizontal="center" vertical="center"/>
    </xf>
    <xf numFmtId="186" fontId="2" fillId="4" borderId="32" xfId="51" applyNumberFormat="1" applyFont="1" applyFill="1" applyBorder="1" applyAlignment="1">
      <alignment horizontal="center" vertical="center"/>
    </xf>
    <xf numFmtId="186" fontId="2" fillId="4" borderId="33" xfId="51" applyNumberFormat="1" applyFont="1" applyFill="1" applyBorder="1" applyAlignment="1">
      <alignment horizontal="center" vertical="center"/>
    </xf>
    <xf numFmtId="186" fontId="3" fillId="4" borderId="30" xfId="51" applyNumberFormat="1" applyFont="1" applyFill="1" applyBorder="1" applyAlignment="1">
      <alignment horizontal="center" vertical="center"/>
    </xf>
    <xf numFmtId="186" fontId="3" fillId="4" borderId="34" xfId="51" applyNumberFormat="1" applyFont="1" applyFill="1" applyBorder="1" applyAlignment="1">
      <alignment horizontal="center" vertical="center"/>
    </xf>
    <xf numFmtId="0" fontId="8" fillId="36" borderId="35" xfId="55" applyFont="1" applyFill="1" applyBorder="1" applyAlignment="1">
      <alignment horizontal="center" vertical="center" wrapText="1"/>
      <protection/>
    </xf>
    <xf numFmtId="0" fontId="8" fillId="37" borderId="36" xfId="55" applyFont="1" applyFill="1" applyBorder="1" applyAlignment="1">
      <alignment horizontal="center" vertical="center" wrapText="1"/>
      <protection/>
    </xf>
    <xf numFmtId="0" fontId="8" fillId="38" borderId="37" xfId="55" applyFont="1" applyFill="1" applyBorder="1" applyAlignment="1">
      <alignment horizontal="center" vertical="center" wrapText="1"/>
      <protection/>
    </xf>
    <xf numFmtId="17" fontId="3" fillId="39" borderId="38" xfId="55" applyNumberFormat="1" applyFont="1" applyFill="1" applyBorder="1" applyAlignment="1">
      <alignment horizontal="center" vertical="center"/>
      <protection/>
    </xf>
    <xf numFmtId="17" fontId="3" fillId="40" borderId="39" xfId="55" applyNumberFormat="1" applyFont="1" applyFill="1" applyBorder="1" applyAlignment="1">
      <alignment horizontal="center" vertical="center"/>
      <protection/>
    </xf>
    <xf numFmtId="17" fontId="3" fillId="41" borderId="11" xfId="55" applyNumberFormat="1" applyFont="1" applyFill="1" applyBorder="1" applyAlignment="1">
      <alignment horizontal="center" vertical="center"/>
      <protection/>
    </xf>
    <xf numFmtId="17" fontId="3" fillId="33" borderId="0" xfId="55" applyNumberFormat="1" applyFont="1" applyFill="1" applyBorder="1" applyAlignment="1">
      <alignment horizontal="center" vertical="center"/>
      <protection/>
    </xf>
    <xf numFmtId="0" fontId="46" fillId="4" borderId="16" xfId="46" applyFill="1" applyBorder="1" applyAlignment="1">
      <alignment horizontal="left" vertical="center" wrapText="1"/>
    </xf>
    <xf numFmtId="0" fontId="46" fillId="4" borderId="17" xfId="46" applyFill="1" applyBorder="1" applyAlignment="1">
      <alignment horizontal="left" vertical="center" wrapText="1"/>
    </xf>
    <xf numFmtId="0" fontId="3" fillId="4" borderId="40" xfId="55" applyFont="1" applyFill="1" applyBorder="1" applyAlignment="1">
      <alignment horizontal="left" vertical="center"/>
      <protection/>
    </xf>
    <xf numFmtId="0" fontId="3" fillId="4" borderId="41" xfId="55" applyFont="1" applyFill="1" applyBorder="1" applyAlignment="1">
      <alignment horizontal="left" vertical="center"/>
      <protection/>
    </xf>
    <xf numFmtId="186" fontId="2" fillId="4" borderId="20" xfId="51" applyNumberFormat="1" applyFont="1" applyFill="1" applyBorder="1" applyAlignment="1">
      <alignment horizontal="center" vertical="center"/>
    </xf>
    <xf numFmtId="186" fontId="2" fillId="4" borderId="21" xfId="51" applyNumberFormat="1" applyFont="1" applyFill="1" applyBorder="1" applyAlignment="1">
      <alignment horizontal="center" vertical="center"/>
    </xf>
    <xf numFmtId="186" fontId="3" fillId="4" borderId="20" xfId="51" applyNumberFormat="1" applyFont="1" applyFill="1" applyBorder="1" applyAlignment="1">
      <alignment horizontal="center" vertical="center"/>
    </xf>
    <xf numFmtId="186" fontId="3" fillId="4" borderId="21" xfId="51" applyNumberFormat="1" applyFont="1" applyFill="1" applyBorder="1" applyAlignment="1">
      <alignment horizontal="center" vertical="center"/>
    </xf>
    <xf numFmtId="186" fontId="3" fillId="4" borderId="23" xfId="51" applyNumberFormat="1" applyFont="1" applyFill="1" applyBorder="1" applyAlignment="1">
      <alignment horizontal="center" vertical="center"/>
    </xf>
    <xf numFmtId="186" fontId="3" fillId="4" borderId="42" xfId="51" applyNumberFormat="1" applyFont="1" applyFill="1" applyBorder="1" applyAlignment="1">
      <alignment horizontal="center" vertical="center"/>
    </xf>
    <xf numFmtId="186" fontId="2" fillId="4" borderId="17" xfId="51" applyNumberFormat="1" applyFont="1" applyFill="1" applyBorder="1" applyAlignment="1">
      <alignment horizontal="center" vertical="center"/>
    </xf>
    <xf numFmtId="186" fontId="2" fillId="4" borderId="18" xfId="51" applyNumberFormat="1" applyFont="1" applyFill="1" applyBorder="1" applyAlignment="1">
      <alignment horizontal="center" vertical="center"/>
    </xf>
    <xf numFmtId="186" fontId="3" fillId="4" borderId="41" xfId="51" applyNumberFormat="1" applyFont="1" applyFill="1" applyBorder="1" applyAlignment="1">
      <alignment horizontal="center" vertical="center"/>
    </xf>
    <xf numFmtId="186" fontId="3" fillId="4" borderId="43" xfId="51" applyNumberFormat="1" applyFont="1" applyFill="1" applyBorder="1" applyAlignment="1">
      <alignment horizontal="center" vertical="center"/>
    </xf>
    <xf numFmtId="186" fontId="2" fillId="4" borderId="28" xfId="51" applyNumberFormat="1" applyFont="1" applyFill="1" applyBorder="1" applyAlignment="1">
      <alignment horizontal="center" vertical="center"/>
    </xf>
    <xf numFmtId="186" fontId="2" fillId="4" borderId="44" xfId="51" applyNumberFormat="1" applyFont="1" applyFill="1" applyBorder="1" applyAlignment="1">
      <alignment horizontal="center" vertical="center"/>
    </xf>
    <xf numFmtId="186" fontId="2" fillId="4" borderId="23" xfId="51" applyNumberFormat="1" applyFont="1" applyFill="1" applyBorder="1" applyAlignment="1">
      <alignment horizontal="center" vertical="center"/>
    </xf>
    <xf numFmtId="186" fontId="2" fillId="4" borderId="42" xfId="51" applyNumberFormat="1" applyFont="1" applyFill="1" applyBorder="1" applyAlignment="1">
      <alignment horizontal="center" vertical="center"/>
    </xf>
    <xf numFmtId="17" fontId="8" fillId="42" borderId="38" xfId="55" applyNumberFormat="1" applyFont="1" applyFill="1" applyBorder="1" applyAlignment="1">
      <alignment horizontal="center" vertical="center"/>
      <protection/>
    </xf>
    <xf numFmtId="17" fontId="8" fillId="43" borderId="39" xfId="55" applyNumberFormat="1" applyFont="1" applyFill="1" applyBorder="1" applyAlignment="1">
      <alignment horizontal="center" vertical="center"/>
      <protection/>
    </xf>
    <xf numFmtId="17" fontId="8" fillId="44" borderId="11" xfId="55" applyNumberFormat="1" applyFont="1" applyFill="1" applyBorder="1" applyAlignment="1">
      <alignment horizontal="center" vertical="center"/>
      <protection/>
    </xf>
    <xf numFmtId="17" fontId="3" fillId="45" borderId="45" xfId="55" applyNumberFormat="1" applyFont="1" applyFill="1" applyBorder="1" applyAlignment="1">
      <alignment horizontal="center" vertical="center"/>
      <protection/>
    </xf>
    <xf numFmtId="17" fontId="3" fillId="46" borderId="0" xfId="55" applyNumberFormat="1" applyFont="1" applyFill="1" applyBorder="1" applyAlignment="1">
      <alignment horizontal="center" vertical="center"/>
      <protection/>
    </xf>
    <xf numFmtId="186" fontId="3" fillId="4" borderId="25" xfId="51" applyNumberFormat="1" applyFont="1" applyFill="1" applyBorder="1" applyAlignment="1">
      <alignment horizontal="center" vertical="center"/>
    </xf>
    <xf numFmtId="186" fontId="3" fillId="4" borderId="26" xfId="51" applyNumberFormat="1" applyFont="1" applyFill="1" applyBorder="1" applyAlignment="1">
      <alignment horizontal="center" vertical="center"/>
    </xf>
    <xf numFmtId="17" fontId="3" fillId="47" borderId="40" xfId="55" applyNumberFormat="1" applyFont="1" applyFill="1" applyBorder="1" applyAlignment="1">
      <alignment horizontal="center" vertical="center"/>
      <protection/>
    </xf>
    <xf numFmtId="17" fontId="3" fillId="48" borderId="41" xfId="55" applyNumberFormat="1" applyFont="1" applyFill="1" applyBorder="1" applyAlignment="1">
      <alignment horizontal="center" vertical="center"/>
      <protection/>
    </xf>
    <xf numFmtId="17" fontId="3" fillId="49" borderId="43" xfId="55" applyNumberFormat="1" applyFont="1" applyFill="1" applyBorder="1" applyAlignment="1">
      <alignment horizontal="center" vertical="center"/>
      <protection/>
    </xf>
    <xf numFmtId="186" fontId="2" fillId="4" borderId="30" xfId="51" applyNumberFormat="1" applyFont="1" applyFill="1" applyBorder="1" applyAlignment="1">
      <alignment horizontal="center"/>
    </xf>
    <xf numFmtId="186" fontId="2" fillId="4" borderId="34" xfId="51" applyNumberFormat="1" applyFont="1" applyFill="1" applyBorder="1" applyAlignment="1">
      <alignment horizontal="center"/>
    </xf>
    <xf numFmtId="186" fontId="3" fillId="4" borderId="46" xfId="51" applyNumberFormat="1" applyFont="1" applyFill="1" applyBorder="1" applyAlignment="1">
      <alignment horizontal="center" vertical="center"/>
    </xf>
    <xf numFmtId="186" fontId="3" fillId="4" borderId="47" xfId="51" applyNumberFormat="1" applyFont="1" applyFill="1" applyBorder="1" applyAlignment="1">
      <alignment horizontal="center" vertical="center"/>
    </xf>
    <xf numFmtId="186" fontId="3" fillId="50" borderId="17" xfId="51" applyNumberFormat="1" applyFont="1" applyFill="1" applyBorder="1" applyAlignment="1">
      <alignment horizontal="center" vertical="center"/>
    </xf>
    <xf numFmtId="186" fontId="3" fillId="50" borderId="18" xfId="51" applyNumberFormat="1" applyFont="1" applyFill="1" applyBorder="1" applyAlignment="1">
      <alignment horizontal="center" vertical="center"/>
    </xf>
    <xf numFmtId="186" fontId="3" fillId="50" borderId="25" xfId="51" applyNumberFormat="1" applyFont="1" applyFill="1" applyBorder="1" applyAlignment="1">
      <alignment horizontal="center" vertical="center"/>
    </xf>
    <xf numFmtId="186" fontId="3" fillId="50" borderId="26" xfId="51" applyNumberFormat="1" applyFont="1" applyFill="1" applyBorder="1" applyAlignment="1">
      <alignment horizontal="center" vertical="center"/>
    </xf>
    <xf numFmtId="0" fontId="3" fillId="50" borderId="24" xfId="55" applyFont="1" applyFill="1" applyBorder="1" applyAlignment="1">
      <alignment horizontal="left" vertical="center"/>
      <protection/>
    </xf>
    <xf numFmtId="0" fontId="3" fillId="50" borderId="25" xfId="55" applyFont="1" applyFill="1" applyBorder="1" applyAlignment="1">
      <alignment horizontal="left" vertical="center"/>
      <protection/>
    </xf>
    <xf numFmtId="186" fontId="2" fillId="4" borderId="17" xfId="51" applyNumberFormat="1" applyFont="1" applyFill="1" applyBorder="1" applyAlignment="1">
      <alignment horizontal="center"/>
    </xf>
    <xf numFmtId="186" fontId="2" fillId="4" borderId="18" xfId="51" applyNumberFormat="1" applyFont="1" applyFill="1" applyBorder="1" applyAlignment="1">
      <alignment horizontal="center"/>
    </xf>
    <xf numFmtId="0" fontId="3" fillId="10" borderId="48" xfId="55" applyFont="1" applyFill="1" applyBorder="1" applyAlignment="1">
      <alignment horizontal="left" vertical="center"/>
      <protection/>
    </xf>
    <xf numFmtId="0" fontId="3" fillId="10" borderId="49" xfId="55" applyFont="1" applyFill="1" applyBorder="1" applyAlignment="1">
      <alignment horizontal="left" vertical="center"/>
      <protection/>
    </xf>
    <xf numFmtId="0" fontId="3" fillId="4" borderId="24" xfId="55" applyFont="1" applyFill="1" applyBorder="1" applyAlignment="1">
      <alignment horizontal="left" vertical="center"/>
      <protection/>
    </xf>
    <xf numFmtId="0" fontId="3" fillId="4" borderId="25" xfId="55" applyFont="1" applyFill="1" applyBorder="1" applyAlignment="1">
      <alignment horizontal="left" vertical="center"/>
      <protection/>
    </xf>
    <xf numFmtId="175" fontId="3" fillId="10" borderId="49" xfId="50" applyFont="1" applyFill="1" applyBorder="1" applyAlignment="1">
      <alignment horizontal="center" vertical="center"/>
    </xf>
    <xf numFmtId="175" fontId="3" fillId="10" borderId="50" xfId="50" applyFont="1" applyFill="1" applyBorder="1" applyAlignment="1">
      <alignment horizontal="center" vertical="center"/>
    </xf>
    <xf numFmtId="194" fontId="3" fillId="4" borderId="20" xfId="51" applyNumberFormat="1" applyFont="1" applyFill="1" applyBorder="1" applyAlignment="1">
      <alignment horizontal="center" vertical="center"/>
    </xf>
    <xf numFmtId="194" fontId="3" fillId="4" borderId="21" xfId="51" applyNumberFormat="1" applyFont="1" applyFill="1" applyBorder="1" applyAlignment="1">
      <alignment horizontal="center" vertical="center"/>
    </xf>
    <xf numFmtId="0" fontId="57" fillId="4" borderId="20" xfId="54" applyFont="1" applyFill="1" applyBorder="1" applyAlignment="1">
      <alignment horizontal="center" vertical="center" wrapText="1"/>
      <protection/>
    </xf>
    <xf numFmtId="0" fontId="3" fillId="4" borderId="19" xfId="55" applyFont="1" applyFill="1" applyBorder="1" applyAlignment="1">
      <alignment horizontal="left" vertical="center" wrapText="1"/>
      <protection/>
    </xf>
    <xf numFmtId="0" fontId="3" fillId="4" borderId="20" xfId="55" applyFont="1" applyFill="1" applyBorder="1" applyAlignment="1">
      <alignment horizontal="left" vertical="center" wrapText="1"/>
      <protection/>
    </xf>
    <xf numFmtId="10" fontId="3" fillId="51" borderId="25" xfId="57" applyNumberFormat="1" applyFont="1" applyFill="1" applyBorder="1" applyAlignment="1">
      <alignment horizontal="center" vertical="center"/>
    </xf>
    <xf numFmtId="10" fontId="3" fillId="52" borderId="26" xfId="57" applyNumberFormat="1" applyFont="1" applyFill="1" applyBorder="1" applyAlignment="1">
      <alignment horizontal="center" vertical="center"/>
    </xf>
    <xf numFmtId="17" fontId="3" fillId="53" borderId="24" xfId="55" applyNumberFormat="1" applyFont="1" applyFill="1" applyBorder="1" applyAlignment="1">
      <alignment horizontal="left" vertical="center"/>
      <protection/>
    </xf>
    <xf numFmtId="17" fontId="3" fillId="54" borderId="25" xfId="55" applyNumberFormat="1" applyFont="1" applyFill="1" applyBorder="1" applyAlignment="1">
      <alignment horizontal="left" vertical="center"/>
      <protection/>
    </xf>
    <xf numFmtId="0" fontId="57" fillId="4" borderId="25" xfId="54" applyFont="1" applyFill="1" applyBorder="1" applyAlignment="1">
      <alignment horizontal="center" vertical="center" wrapText="1"/>
      <protection/>
    </xf>
    <xf numFmtId="175" fontId="3" fillId="55" borderId="51" xfId="50" applyFont="1" applyFill="1" applyBorder="1" applyAlignment="1">
      <alignment horizontal="center" wrapText="1"/>
    </xf>
    <xf numFmtId="175" fontId="3" fillId="56" borderId="52" xfId="50" applyFont="1" applyFill="1" applyBorder="1" applyAlignment="1">
      <alignment horizontal="center" wrapText="1"/>
    </xf>
    <xf numFmtId="0" fontId="4" fillId="57" borderId="51" xfId="54" applyFont="1" applyFill="1" applyBorder="1" applyAlignment="1">
      <alignment horizontal="center" vertical="center" wrapText="1"/>
      <protection/>
    </xf>
    <xf numFmtId="0" fontId="4" fillId="58" borderId="12" xfId="54" applyFont="1" applyFill="1" applyBorder="1" applyAlignment="1">
      <alignment horizontal="center" vertical="center" wrapText="1"/>
      <protection/>
    </xf>
    <xf numFmtId="0" fontId="4" fillId="59" borderId="35" xfId="54" applyFont="1" applyFill="1" applyBorder="1" applyAlignment="1">
      <alignment horizontal="center" vertical="center" wrapText="1"/>
      <protection/>
    </xf>
    <xf numFmtId="0" fontId="4" fillId="60" borderId="36" xfId="54" applyFont="1" applyFill="1" applyBorder="1" applyAlignment="1">
      <alignment horizontal="center" vertical="center" wrapText="1"/>
      <protection/>
    </xf>
    <xf numFmtId="0" fontId="4" fillId="61" borderId="37" xfId="54" applyFont="1" applyFill="1" applyBorder="1" applyAlignment="1">
      <alignment horizontal="center" vertical="center" wrapText="1"/>
      <protection/>
    </xf>
    <xf numFmtId="0" fontId="4" fillId="62" borderId="45" xfId="54" applyFont="1" applyFill="1" applyBorder="1" applyAlignment="1">
      <alignment horizontal="center" vertical="center" wrapText="1"/>
      <protection/>
    </xf>
    <xf numFmtId="0" fontId="4" fillId="63" borderId="0" xfId="54" applyFont="1" applyFill="1" applyAlignment="1">
      <alignment horizontal="center" vertical="center" wrapText="1"/>
      <protection/>
    </xf>
    <xf numFmtId="0" fontId="4" fillId="64" borderId="53" xfId="54" applyFont="1" applyFill="1" applyBorder="1" applyAlignment="1">
      <alignment horizontal="center" vertical="center" wrapText="1"/>
      <protection/>
    </xf>
    <xf numFmtId="188" fontId="4" fillId="4" borderId="17" xfId="54" applyNumberFormat="1" applyFont="1" applyFill="1" applyBorder="1" applyAlignment="1">
      <alignment horizontal="center" vertical="center" wrapText="1"/>
      <protection/>
    </xf>
    <xf numFmtId="0" fontId="3" fillId="50" borderId="54" xfId="55" applyFont="1" applyFill="1" applyBorder="1" applyAlignment="1">
      <alignment horizontal="left" vertical="center"/>
      <protection/>
    </xf>
    <xf numFmtId="0" fontId="3" fillId="50" borderId="32" xfId="55" applyFont="1" applyFill="1" applyBorder="1" applyAlignment="1">
      <alignment horizontal="left" vertical="center"/>
      <protection/>
    </xf>
    <xf numFmtId="0" fontId="3" fillId="50" borderId="55" xfId="55" applyFont="1" applyFill="1" applyBorder="1" applyAlignment="1">
      <alignment horizontal="left" vertical="center"/>
      <protection/>
    </xf>
    <xf numFmtId="186" fontId="3" fillId="50" borderId="31" xfId="51" applyNumberFormat="1" applyFont="1" applyFill="1" applyBorder="1" applyAlignment="1">
      <alignment horizontal="center" vertical="center"/>
    </xf>
    <xf numFmtId="186" fontId="3" fillId="50" borderId="32" xfId="51" applyNumberFormat="1" applyFont="1" applyFill="1" applyBorder="1" applyAlignment="1">
      <alignment horizontal="center" vertical="center"/>
    </xf>
    <xf numFmtId="186" fontId="3" fillId="50" borderId="33" xfId="51" applyNumberFormat="1" applyFont="1" applyFill="1" applyBorder="1" applyAlignment="1">
      <alignment horizontal="center" vertical="center"/>
    </xf>
    <xf numFmtId="0" fontId="3" fillId="4" borderId="56" xfId="55" applyFont="1" applyFill="1" applyBorder="1" applyAlignment="1">
      <alignment horizontal="left" vertical="center"/>
      <protection/>
    </xf>
    <xf numFmtId="0" fontId="3" fillId="4" borderId="46" xfId="55" applyFont="1" applyFill="1" applyBorder="1" applyAlignment="1">
      <alignment horizontal="left" vertical="center"/>
      <protection/>
    </xf>
    <xf numFmtId="0" fontId="2" fillId="4" borderId="29" xfId="55" applyFont="1" applyFill="1" applyBorder="1" applyAlignment="1">
      <alignment horizontal="left" vertical="center"/>
      <protection/>
    </xf>
    <xf numFmtId="0" fontId="2" fillId="4" borderId="30" xfId="55" applyFont="1" applyFill="1" applyBorder="1" applyAlignment="1">
      <alignment horizontal="left" vertical="center"/>
      <protection/>
    </xf>
    <xf numFmtId="0" fontId="3" fillId="50" borderId="16" xfId="55" applyFont="1" applyFill="1" applyBorder="1" applyAlignment="1">
      <alignment horizontal="left" vertical="center"/>
      <protection/>
    </xf>
    <xf numFmtId="0" fontId="3" fillId="50" borderId="17" xfId="55" applyFont="1" applyFill="1" applyBorder="1" applyAlignment="1">
      <alignment horizontal="left" vertical="center"/>
      <protection/>
    </xf>
    <xf numFmtId="17" fontId="58" fillId="65" borderId="38" xfId="55" applyNumberFormat="1" applyFont="1" applyFill="1" applyBorder="1" applyAlignment="1">
      <alignment horizontal="center" vertical="center"/>
      <protection/>
    </xf>
    <xf numFmtId="17" fontId="58" fillId="65" borderId="39" xfId="55" applyNumberFormat="1" applyFont="1" applyFill="1" applyBorder="1" applyAlignment="1">
      <alignment horizontal="center" vertical="center"/>
      <protection/>
    </xf>
    <xf numFmtId="17" fontId="58" fillId="65" borderId="11" xfId="55" applyNumberFormat="1" applyFont="1" applyFill="1" applyBorder="1" applyAlignment="1">
      <alignment horizontal="center" vertical="center"/>
      <protection/>
    </xf>
    <xf numFmtId="0" fontId="7" fillId="33" borderId="0" xfId="0" applyFont="1" applyFill="1" applyBorder="1" applyAlignment="1">
      <alignment horizontal="center"/>
    </xf>
    <xf numFmtId="0" fontId="59" fillId="33" borderId="0" xfId="0" applyFont="1" applyFill="1" applyBorder="1" applyAlignment="1">
      <alignment horizontal="center"/>
    </xf>
    <xf numFmtId="187" fontId="9" fillId="33" borderId="0" xfId="49" applyNumberFormat="1" applyFont="1" applyFill="1" applyBorder="1" applyAlignment="1">
      <alignment horizontal="center" vertical="center"/>
    </xf>
    <xf numFmtId="186" fontId="9" fillId="33" borderId="57" xfId="51" applyNumberFormat="1" applyFont="1" applyFill="1" applyBorder="1" applyAlignment="1">
      <alignment horizontal="center" vertical="center"/>
    </xf>
    <xf numFmtId="0" fontId="2" fillId="4" borderId="27" xfId="55" applyFont="1" applyFill="1" applyBorder="1" applyAlignment="1">
      <alignment horizontal="left" vertical="center" wrapText="1"/>
      <protection/>
    </xf>
    <xf numFmtId="0" fontId="2" fillId="4" borderId="28" xfId="55" applyFont="1" applyFill="1" applyBorder="1" applyAlignment="1">
      <alignment horizontal="left" vertical="center" wrapText="1"/>
      <protection/>
    </xf>
    <xf numFmtId="0" fontId="2" fillId="4" borderId="44" xfId="55" applyFont="1" applyFill="1" applyBorder="1" applyAlignment="1">
      <alignment horizontal="left" vertical="center" wrapText="1"/>
      <protection/>
    </xf>
    <xf numFmtId="186" fontId="2" fillId="4" borderId="58" xfId="51" applyNumberFormat="1" applyFont="1" applyFill="1" applyBorder="1" applyAlignment="1">
      <alignment horizontal="center" vertical="center"/>
    </xf>
    <xf numFmtId="0" fontId="3" fillId="4" borderId="26" xfId="55" applyFont="1" applyFill="1" applyBorder="1" applyAlignment="1">
      <alignment horizontal="left" vertical="center"/>
      <protection/>
    </xf>
    <xf numFmtId="186" fontId="3" fillId="4" borderId="59" xfId="51" applyNumberFormat="1" applyFont="1" applyFill="1" applyBorder="1" applyAlignment="1">
      <alignment horizontal="center" vertical="center"/>
    </xf>
    <xf numFmtId="186" fontId="2" fillId="4" borderId="60" xfId="51" applyNumberFormat="1" applyFont="1" applyFill="1" applyBorder="1" applyAlignment="1">
      <alignment horizontal="center" vertical="center"/>
    </xf>
    <xf numFmtId="186" fontId="2" fillId="4" borderId="61" xfId="51" applyNumberFormat="1" applyFont="1" applyFill="1" applyBorder="1" applyAlignment="1">
      <alignment horizontal="center" vertical="center"/>
    </xf>
    <xf numFmtId="186" fontId="2" fillId="4" borderId="62" xfId="51" applyNumberFormat="1" applyFont="1" applyFill="1" applyBorder="1" applyAlignment="1">
      <alignment horizontal="center" vertical="center"/>
    </xf>
    <xf numFmtId="0" fontId="3" fillId="4" borderId="16" xfId="55" applyFont="1" applyFill="1" applyBorder="1" applyAlignment="1">
      <alignment horizontal="left" vertical="center" wrapText="1"/>
      <protection/>
    </xf>
    <xf numFmtId="0" fontId="3" fillId="4" borderId="17" xfId="55" applyFont="1" applyFill="1" applyBorder="1" applyAlignment="1">
      <alignment horizontal="left" vertical="center" wrapText="1"/>
      <protection/>
    </xf>
    <xf numFmtId="1" fontId="9" fillId="4" borderId="16" xfId="50" applyNumberFormat="1" applyFont="1" applyFill="1" applyBorder="1" applyAlignment="1">
      <alignment horizontal="left" vertical="center" wrapText="1"/>
    </xf>
    <xf numFmtId="1" fontId="9" fillId="4" borderId="17" xfId="50" applyNumberFormat="1" applyFont="1" applyFill="1" applyBorder="1" applyAlignment="1">
      <alignment horizontal="left" vertical="center" wrapText="1"/>
    </xf>
    <xf numFmtId="0" fontId="9" fillId="4" borderId="19" xfId="55" applyFont="1" applyFill="1" applyBorder="1" applyAlignment="1">
      <alignment horizontal="left" vertical="center" wrapText="1"/>
      <protection/>
    </xf>
    <xf numFmtId="0" fontId="9" fillId="4" borderId="20" xfId="55" applyFont="1" applyFill="1" applyBorder="1" applyAlignment="1">
      <alignment horizontal="left" vertical="center" wrapText="1"/>
      <protection/>
    </xf>
    <xf numFmtId="0" fontId="3" fillId="50" borderId="63" xfId="55" applyFont="1" applyFill="1" applyBorder="1" applyAlignment="1">
      <alignment horizontal="left" vertical="center"/>
      <protection/>
    </xf>
    <xf numFmtId="0" fontId="3" fillId="50" borderId="61" xfId="55" applyFont="1" applyFill="1" applyBorder="1" applyAlignment="1">
      <alignment horizontal="left" vertical="center"/>
      <protection/>
    </xf>
    <xf numFmtId="0" fontId="3" fillId="50" borderId="64" xfId="55" applyFont="1" applyFill="1" applyBorder="1" applyAlignment="1">
      <alignment horizontal="left" vertical="center"/>
      <protection/>
    </xf>
    <xf numFmtId="0" fontId="3" fillId="50" borderId="65" xfId="55" applyFont="1" applyFill="1" applyBorder="1" applyAlignment="1">
      <alignment horizontal="left" vertical="center"/>
      <protection/>
    </xf>
    <xf numFmtId="0" fontId="3" fillId="50" borderId="66" xfId="55" applyFont="1" applyFill="1" applyBorder="1" applyAlignment="1">
      <alignment horizontal="left" vertical="center"/>
      <protection/>
    </xf>
    <xf numFmtId="0" fontId="3" fillId="50" borderId="59" xfId="55" applyFont="1" applyFill="1" applyBorder="1" applyAlignment="1">
      <alignment horizontal="left" vertical="center"/>
      <protection/>
    </xf>
    <xf numFmtId="0" fontId="9" fillId="4" borderId="27" xfId="55" applyFont="1" applyFill="1" applyBorder="1" applyAlignment="1">
      <alignment horizontal="left" vertical="center"/>
      <protection/>
    </xf>
    <xf numFmtId="0" fontId="9" fillId="4" borderId="28" xfId="55" applyFont="1" applyFill="1" applyBorder="1" applyAlignment="1">
      <alignment horizontal="left" vertical="center"/>
      <protection/>
    </xf>
    <xf numFmtId="0" fontId="3" fillId="4" borderId="38" xfId="55" applyFont="1" applyFill="1" applyBorder="1" applyAlignment="1">
      <alignment horizontal="left" vertical="center" wrapText="1"/>
      <protection/>
    </xf>
    <xf numFmtId="0" fontId="3" fillId="4" borderId="39" xfId="55" applyFont="1" applyFill="1" applyBorder="1" applyAlignment="1">
      <alignment horizontal="left" vertical="center" wrapText="1"/>
      <protection/>
    </xf>
    <xf numFmtId="0" fontId="3" fillId="4" borderId="11" xfId="55" applyFont="1" applyFill="1" applyBorder="1" applyAlignment="1">
      <alignment horizontal="left" vertical="center" wrapText="1"/>
      <protection/>
    </xf>
    <xf numFmtId="10" fontId="3" fillId="4" borderId="38" xfId="57" applyNumberFormat="1" applyFont="1" applyFill="1" applyBorder="1" applyAlignment="1">
      <alignment horizontal="right" vertical="center"/>
    </xf>
    <xf numFmtId="10" fontId="3" fillId="4" borderId="39" xfId="57" applyNumberFormat="1" applyFont="1" applyFill="1" applyBorder="1" applyAlignment="1">
      <alignment horizontal="right" vertical="center"/>
    </xf>
    <xf numFmtId="10" fontId="3" fillId="4" borderId="11" xfId="57" applyNumberFormat="1" applyFont="1" applyFill="1" applyBorder="1" applyAlignment="1">
      <alignment horizontal="right" vertical="center"/>
    </xf>
    <xf numFmtId="175" fontId="3" fillId="4" borderId="38" xfId="50" applyFont="1" applyFill="1" applyBorder="1" applyAlignment="1">
      <alignment horizontal="center" vertical="center"/>
    </xf>
    <xf numFmtId="175" fontId="3" fillId="4" borderId="39" xfId="50" applyFont="1" applyFill="1" applyBorder="1" applyAlignment="1">
      <alignment horizontal="center" vertical="center"/>
    </xf>
    <xf numFmtId="175" fontId="3" fillId="4" borderId="11" xfId="50" applyFont="1" applyFill="1" applyBorder="1" applyAlignment="1">
      <alignment horizontal="center" vertical="center"/>
    </xf>
    <xf numFmtId="0" fontId="9" fillId="4" borderId="16" xfId="55" applyFont="1" applyFill="1" applyBorder="1" applyAlignment="1">
      <alignment horizontal="left" vertical="center"/>
      <protection/>
    </xf>
    <xf numFmtId="0" fontId="9" fillId="4" borderId="17" xfId="55" applyFont="1" applyFill="1" applyBorder="1" applyAlignment="1">
      <alignment horizontal="left" vertical="center"/>
      <protection/>
    </xf>
    <xf numFmtId="0" fontId="3" fillId="4" borderId="38" xfId="55" applyFont="1" applyFill="1" applyBorder="1" applyAlignment="1">
      <alignment horizontal="left" vertical="center"/>
      <protection/>
    </xf>
    <xf numFmtId="0" fontId="3" fillId="4" borderId="39" xfId="55" applyFont="1" applyFill="1" applyBorder="1" applyAlignment="1">
      <alignment horizontal="left" vertical="center"/>
      <protection/>
    </xf>
    <xf numFmtId="0" fontId="3" fillId="4" borderId="11" xfId="55" applyFont="1" applyFill="1" applyBorder="1" applyAlignment="1">
      <alignment horizontal="left" vertical="center"/>
      <protection/>
    </xf>
    <xf numFmtId="186" fontId="3" fillId="4" borderId="39" xfId="51" applyNumberFormat="1" applyFont="1" applyFill="1" applyBorder="1" applyAlignment="1">
      <alignment horizontal="center" vertical="center"/>
    </xf>
    <xf numFmtId="186" fontId="3" fillId="4" borderId="11" xfId="51" applyNumberFormat="1"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RETE FUENTE DIC P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ccounter.co/normatividad/conceptos/18921-concepto-38923-retencion-en-la-fuente-descriptor-procedimiento-2-para-retencion-de-ingresos-laborales-fuentes-formales-estatuto-tributario-arts-119-126-1-126-4-206-383-386-387-y-387-1.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J62"/>
  <sheetViews>
    <sheetView tabSelected="1" zoomScaleSheetLayoutView="100" zoomScalePageLayoutView="99" workbookViewId="0" topLeftCell="A1">
      <selection activeCell="D51" sqref="D51:G52"/>
    </sheetView>
  </sheetViews>
  <sheetFormatPr defaultColWidth="11.421875" defaultRowHeight="15"/>
  <cols>
    <col min="1" max="1" width="1.421875" style="1" customWidth="1"/>
    <col min="2" max="2" width="9.140625" style="1" customWidth="1"/>
    <col min="3" max="3" width="58.140625" style="1" customWidth="1"/>
    <col min="4" max="4" width="20.7109375" style="2" bestFit="1" customWidth="1"/>
    <col min="5" max="5" width="3.140625" style="1" customWidth="1"/>
    <col min="6" max="6" width="9.28125" style="25" customWidth="1"/>
    <col min="7" max="7" width="4.28125" style="13" customWidth="1"/>
    <col min="8" max="8" width="10.7109375" style="3" customWidth="1"/>
    <col min="9" max="9" width="11.421875" style="1" customWidth="1"/>
    <col min="10" max="10" width="12.28125" style="1" bestFit="1" customWidth="1"/>
    <col min="11" max="16384" width="11.421875" style="1" customWidth="1"/>
  </cols>
  <sheetData>
    <row r="1" spans="1:8" ht="15">
      <c r="A1" s="68" t="s">
        <v>23</v>
      </c>
      <c r="B1" s="68"/>
      <c r="C1" s="68"/>
      <c r="D1" s="68"/>
      <c r="E1" s="68"/>
      <c r="F1" s="68"/>
      <c r="G1" s="68"/>
      <c r="H1" s="68"/>
    </row>
    <row r="2" spans="2:10" ht="15">
      <c r="B2" s="16"/>
      <c r="C2" s="69" t="s">
        <v>45</v>
      </c>
      <c r="D2" s="69"/>
      <c r="E2" s="69"/>
      <c r="F2" s="69"/>
      <c r="G2" s="69"/>
      <c r="H2" s="69"/>
      <c r="I2" s="16"/>
      <c r="J2" s="16"/>
    </row>
    <row r="3" spans="2:10" ht="15.75" thickBot="1">
      <c r="B3" s="16"/>
      <c r="C3" s="69" t="s">
        <v>18</v>
      </c>
      <c r="D3" s="69"/>
      <c r="E3" s="69"/>
      <c r="F3" s="69"/>
      <c r="G3" s="69"/>
      <c r="H3" s="69"/>
      <c r="I3" s="16"/>
      <c r="J3" s="16"/>
    </row>
    <row r="4" spans="2:10" ht="15.75" thickBot="1">
      <c r="B4" s="16"/>
      <c r="C4" s="78" t="s">
        <v>24</v>
      </c>
      <c r="D4" s="79"/>
      <c r="E4" s="80"/>
      <c r="F4" s="78" t="s">
        <v>22</v>
      </c>
      <c r="G4" s="79"/>
      <c r="H4" s="80"/>
      <c r="I4" s="16"/>
      <c r="J4" s="16"/>
    </row>
    <row r="5" spans="2:10" ht="15">
      <c r="B5" s="16"/>
      <c r="C5" s="81" t="s">
        <v>72</v>
      </c>
      <c r="D5" s="81"/>
      <c r="E5" s="81"/>
      <c r="F5" s="81"/>
      <c r="G5" s="81"/>
      <c r="H5" s="81"/>
      <c r="I5" s="16"/>
      <c r="J5" s="16"/>
    </row>
    <row r="6" spans="2:10" ht="15">
      <c r="B6" s="16"/>
      <c r="C6" s="81" t="s">
        <v>19</v>
      </c>
      <c r="D6" s="81"/>
      <c r="E6" s="81"/>
      <c r="F6" s="81"/>
      <c r="G6" s="81"/>
      <c r="H6" s="81"/>
      <c r="I6" s="16"/>
      <c r="J6" s="16"/>
    </row>
    <row r="7" spans="2:10" ht="15.75" customHeight="1" thickBot="1">
      <c r="B7" s="16"/>
      <c r="C7" s="5" t="s">
        <v>71</v>
      </c>
      <c r="D7" s="4">
        <v>36308</v>
      </c>
      <c r="E7" s="27"/>
      <c r="F7" s="29"/>
      <c r="G7" s="33"/>
      <c r="H7" s="33"/>
      <c r="I7" s="16"/>
      <c r="J7" s="16"/>
    </row>
    <row r="8" spans="2:10" ht="21.75" customHeight="1" thickBot="1">
      <c r="B8" s="16"/>
      <c r="C8" s="75" t="s">
        <v>73</v>
      </c>
      <c r="D8" s="76"/>
      <c r="E8" s="76"/>
      <c r="F8" s="76"/>
      <c r="G8" s="76"/>
      <c r="H8" s="77"/>
      <c r="I8" s="16"/>
      <c r="J8" s="16"/>
    </row>
    <row r="9" spans="2:10" ht="27" customHeight="1">
      <c r="B9" s="16"/>
      <c r="C9" s="82" t="s">
        <v>25</v>
      </c>
      <c r="D9" s="83"/>
      <c r="E9" s="83"/>
      <c r="F9" s="92">
        <v>100000000</v>
      </c>
      <c r="G9" s="92"/>
      <c r="H9" s="93"/>
      <c r="I9" s="16"/>
      <c r="J9" s="16"/>
    </row>
    <row r="10" spans="2:10" ht="18" customHeight="1">
      <c r="B10" s="16"/>
      <c r="C10" s="58" t="s">
        <v>48</v>
      </c>
      <c r="D10" s="59"/>
      <c r="E10" s="59"/>
      <c r="F10" s="70">
        <v>1000000</v>
      </c>
      <c r="G10" s="71"/>
      <c r="H10" s="72"/>
      <c r="I10" s="16"/>
      <c r="J10" s="16"/>
    </row>
    <row r="11" spans="2:10" ht="18" customHeight="1">
      <c r="B11" s="16"/>
      <c r="C11" s="58" t="s">
        <v>49</v>
      </c>
      <c r="D11" s="59"/>
      <c r="E11" s="59"/>
      <c r="F11" s="70"/>
      <c r="G11" s="71"/>
      <c r="H11" s="72"/>
      <c r="I11" s="16"/>
      <c r="J11" s="16"/>
    </row>
    <row r="12" spans="2:10" ht="18" customHeight="1">
      <c r="B12" s="16"/>
      <c r="C12" s="58" t="s">
        <v>50</v>
      </c>
      <c r="D12" s="59"/>
      <c r="E12" s="59"/>
      <c r="F12" s="70"/>
      <c r="G12" s="71"/>
      <c r="H12" s="72"/>
      <c r="I12" s="16"/>
      <c r="J12" s="16"/>
    </row>
    <row r="13" spans="2:10" ht="18" customHeight="1">
      <c r="B13" s="16"/>
      <c r="C13" s="58" t="s">
        <v>51</v>
      </c>
      <c r="D13" s="59"/>
      <c r="E13" s="59"/>
      <c r="F13" s="70"/>
      <c r="G13" s="71"/>
      <c r="H13" s="72"/>
      <c r="I13" s="16"/>
      <c r="J13" s="16"/>
    </row>
    <row r="14" spans="2:10" ht="18" customHeight="1" thickBot="1">
      <c r="B14" s="16"/>
      <c r="C14" s="58" t="s">
        <v>52</v>
      </c>
      <c r="D14" s="59"/>
      <c r="E14" s="59"/>
      <c r="F14" s="70"/>
      <c r="G14" s="71"/>
      <c r="H14" s="72"/>
      <c r="I14" s="16"/>
      <c r="J14" s="16"/>
    </row>
    <row r="15" spans="2:10" ht="15.75" thickBot="1">
      <c r="B15" s="16"/>
      <c r="C15" s="84" t="s">
        <v>0</v>
      </c>
      <c r="D15" s="85"/>
      <c r="E15" s="85"/>
      <c r="F15" s="94">
        <f>SUM(F9:H14)</f>
        <v>101000000</v>
      </c>
      <c r="G15" s="94"/>
      <c r="H15" s="95"/>
      <c r="I15" s="16"/>
      <c r="J15" s="16"/>
    </row>
    <row r="16" spans="2:10" ht="15.75" thickBot="1">
      <c r="B16" s="16"/>
      <c r="C16" s="100" t="s">
        <v>74</v>
      </c>
      <c r="D16" s="101"/>
      <c r="E16" s="101"/>
      <c r="F16" s="101"/>
      <c r="G16" s="101"/>
      <c r="H16" s="102"/>
      <c r="I16" s="16"/>
      <c r="J16" s="16"/>
    </row>
    <row r="17" spans="2:10" ht="15">
      <c r="B17" s="16"/>
      <c r="C17" s="60" t="s">
        <v>53</v>
      </c>
      <c r="D17" s="61"/>
      <c r="E17" s="61"/>
      <c r="F17" s="96">
        <v>9449000</v>
      </c>
      <c r="G17" s="96"/>
      <c r="H17" s="97"/>
      <c r="I17" s="26"/>
      <c r="J17" s="26"/>
    </row>
    <row r="18" spans="2:10" ht="15">
      <c r="B18" s="16"/>
      <c r="C18" s="58" t="s">
        <v>54</v>
      </c>
      <c r="D18" s="59"/>
      <c r="E18" s="59"/>
      <c r="F18" s="86">
        <v>0</v>
      </c>
      <c r="G18" s="86"/>
      <c r="H18" s="87"/>
      <c r="I18" s="26"/>
      <c r="J18" s="26"/>
    </row>
    <row r="19" spans="2:10" ht="15">
      <c r="B19" s="16"/>
      <c r="C19" s="58" t="s">
        <v>55</v>
      </c>
      <c r="D19" s="59"/>
      <c r="E19" s="59"/>
      <c r="F19" s="86">
        <v>0</v>
      </c>
      <c r="G19" s="86"/>
      <c r="H19" s="87"/>
      <c r="I19" s="26"/>
      <c r="J19" s="26"/>
    </row>
    <row r="20" spans="2:10" ht="15.75" thickBot="1">
      <c r="B20" s="16"/>
      <c r="C20" s="62" t="s">
        <v>44</v>
      </c>
      <c r="D20" s="63"/>
      <c r="E20" s="63"/>
      <c r="F20" s="98">
        <v>0</v>
      </c>
      <c r="G20" s="98"/>
      <c r="H20" s="99"/>
      <c r="I20" s="26"/>
      <c r="J20" s="26"/>
    </row>
    <row r="21" spans="2:10" ht="15.75" thickBot="1">
      <c r="B21" s="16"/>
      <c r="C21" s="64" t="s">
        <v>1</v>
      </c>
      <c r="D21" s="65"/>
      <c r="E21" s="65"/>
      <c r="F21" s="73">
        <f>+F15-F17-F18-F20-F19</f>
        <v>91551000</v>
      </c>
      <c r="G21" s="73"/>
      <c r="H21" s="74"/>
      <c r="I21" s="31"/>
      <c r="J21" s="31"/>
    </row>
    <row r="22" spans="2:10" ht="15.75" thickBot="1">
      <c r="B22" s="16"/>
      <c r="C22" s="103" t="s">
        <v>75</v>
      </c>
      <c r="D22" s="104"/>
      <c r="E22" s="104"/>
      <c r="F22" s="104"/>
      <c r="G22" s="104"/>
      <c r="H22" s="104"/>
      <c r="I22" s="16"/>
      <c r="J22" s="16"/>
    </row>
    <row r="23" spans="2:10" ht="39" customHeight="1">
      <c r="B23" s="16"/>
      <c r="C23" s="66" t="s">
        <v>78</v>
      </c>
      <c r="D23" s="67"/>
      <c r="E23" s="67"/>
      <c r="F23" s="92">
        <v>2500000</v>
      </c>
      <c r="G23" s="92"/>
      <c r="H23" s="93"/>
      <c r="I23" s="16"/>
      <c r="J23" s="36"/>
    </row>
    <row r="24" spans="2:10" ht="39" customHeight="1">
      <c r="B24" s="16"/>
      <c r="C24" s="50" t="s">
        <v>79</v>
      </c>
      <c r="D24" s="51"/>
      <c r="E24" s="51"/>
      <c r="F24" s="86">
        <v>10100000</v>
      </c>
      <c r="G24" s="86"/>
      <c r="H24" s="87"/>
      <c r="I24" s="16"/>
      <c r="J24" s="16"/>
    </row>
    <row r="25" spans="2:10" ht="25.5" customHeight="1">
      <c r="B25" s="16"/>
      <c r="C25" s="50" t="s">
        <v>80</v>
      </c>
      <c r="D25" s="51"/>
      <c r="E25" s="51"/>
      <c r="F25" s="86">
        <v>2000000</v>
      </c>
      <c r="G25" s="86"/>
      <c r="H25" s="87"/>
      <c r="I25" s="16"/>
      <c r="J25" s="16"/>
    </row>
    <row r="26" spans="2:10" ht="15">
      <c r="B26" s="16"/>
      <c r="C26" s="52" t="s">
        <v>8</v>
      </c>
      <c r="D26" s="53"/>
      <c r="E26" s="53"/>
      <c r="F26" s="88">
        <f>SUM(F23:H25)</f>
        <v>14600000</v>
      </c>
      <c r="G26" s="88"/>
      <c r="H26" s="89"/>
      <c r="I26" s="16"/>
      <c r="J26" s="16"/>
    </row>
    <row r="27" spans="2:10" ht="15.75" thickBot="1">
      <c r="B27" s="16"/>
      <c r="C27" s="54" t="s">
        <v>5</v>
      </c>
      <c r="D27" s="55"/>
      <c r="E27" s="55"/>
      <c r="F27" s="90">
        <f>+F21-F26</f>
        <v>76951000</v>
      </c>
      <c r="G27" s="90"/>
      <c r="H27" s="91"/>
      <c r="I27" s="16"/>
      <c r="J27" s="16"/>
    </row>
    <row r="28" spans="2:10" ht="15.75" thickBot="1">
      <c r="B28" s="5"/>
      <c r="C28" s="107" t="s">
        <v>76</v>
      </c>
      <c r="D28" s="108"/>
      <c r="E28" s="108"/>
      <c r="F28" s="108"/>
      <c r="G28" s="108"/>
      <c r="H28" s="109"/>
      <c r="I28" s="16"/>
      <c r="J28" s="16"/>
    </row>
    <row r="29" spans="2:10" ht="19.5" customHeight="1">
      <c r="B29" s="5"/>
      <c r="C29" s="56" t="s">
        <v>26</v>
      </c>
      <c r="D29" s="57"/>
      <c r="E29" s="57"/>
      <c r="F29" s="92">
        <v>5000000</v>
      </c>
      <c r="G29" s="92"/>
      <c r="H29" s="93"/>
      <c r="I29" s="16"/>
      <c r="J29" s="16"/>
    </row>
    <row r="30" spans="2:10" ht="43.5" customHeight="1">
      <c r="B30" s="5"/>
      <c r="C30" s="50" t="s">
        <v>27</v>
      </c>
      <c r="D30" s="51"/>
      <c r="E30" s="51"/>
      <c r="F30" s="86">
        <v>1000000</v>
      </c>
      <c r="G30" s="86"/>
      <c r="H30" s="87"/>
      <c r="I30" s="16"/>
      <c r="J30" s="16"/>
    </row>
    <row r="31" spans="2:10" ht="15">
      <c r="B31" s="5"/>
      <c r="C31" s="58" t="s">
        <v>28</v>
      </c>
      <c r="D31" s="59"/>
      <c r="E31" s="59"/>
      <c r="F31" s="86">
        <v>0</v>
      </c>
      <c r="G31" s="86"/>
      <c r="H31" s="87"/>
      <c r="I31" s="16"/>
      <c r="J31" s="16"/>
    </row>
    <row r="32" spans="2:10" ht="15">
      <c r="B32" s="30"/>
      <c r="C32" s="58" t="s">
        <v>29</v>
      </c>
      <c r="D32" s="59"/>
      <c r="E32" s="59"/>
      <c r="F32" s="86">
        <v>0</v>
      </c>
      <c r="G32" s="86"/>
      <c r="H32" s="87"/>
      <c r="I32" s="16"/>
      <c r="J32" s="16"/>
    </row>
    <row r="33" spans="2:10" ht="15">
      <c r="B33" s="30"/>
      <c r="C33" s="58" t="s">
        <v>30</v>
      </c>
      <c r="D33" s="59"/>
      <c r="E33" s="59"/>
      <c r="F33" s="86">
        <v>0</v>
      </c>
      <c r="G33" s="86"/>
      <c r="H33" s="87"/>
      <c r="I33" s="16"/>
      <c r="J33" s="16"/>
    </row>
    <row r="34" spans="2:10" ht="15">
      <c r="B34" s="30"/>
      <c r="C34" s="58" t="s">
        <v>46</v>
      </c>
      <c r="D34" s="59"/>
      <c r="E34" s="59"/>
      <c r="F34" s="86">
        <v>0</v>
      </c>
      <c r="G34" s="86"/>
      <c r="H34" s="87"/>
      <c r="I34" s="16"/>
      <c r="J34" s="16"/>
    </row>
    <row r="35" spans="2:10" ht="19.5" customHeight="1" thickBot="1">
      <c r="B35" s="30"/>
      <c r="C35" s="124" t="s">
        <v>4</v>
      </c>
      <c r="D35" s="125"/>
      <c r="E35" s="125"/>
      <c r="F35" s="105">
        <f>SUM(F29:H34)</f>
        <v>6000000</v>
      </c>
      <c r="G35" s="105"/>
      <c r="H35" s="106"/>
      <c r="I35" s="16"/>
      <c r="J35" s="16"/>
    </row>
    <row r="36" spans="2:10" ht="21" customHeight="1" thickBot="1">
      <c r="B36" s="30"/>
      <c r="C36" s="155" t="s">
        <v>2</v>
      </c>
      <c r="D36" s="156"/>
      <c r="E36" s="156"/>
      <c r="F36" s="112">
        <f>+F27-F35</f>
        <v>70951000</v>
      </c>
      <c r="G36" s="112"/>
      <c r="H36" s="113"/>
      <c r="I36" s="16"/>
      <c r="J36" s="16"/>
    </row>
    <row r="37" spans="2:10" ht="15.75" thickBot="1">
      <c r="B37" s="16"/>
      <c r="C37" s="157" t="s">
        <v>47</v>
      </c>
      <c r="D37" s="158"/>
      <c r="E37" s="158"/>
      <c r="F37" s="110">
        <f>ROUND(+F36*25%,-3)</f>
        <v>17738000</v>
      </c>
      <c r="G37" s="110"/>
      <c r="H37" s="111"/>
      <c r="I37" s="16"/>
      <c r="J37" s="16"/>
    </row>
    <row r="38" spans="2:10" ht="15.75" thickBot="1">
      <c r="B38" s="16"/>
      <c r="C38" s="155" t="s">
        <v>6</v>
      </c>
      <c r="D38" s="156"/>
      <c r="E38" s="156"/>
      <c r="F38" s="112">
        <f>+F36-F37</f>
        <v>53213000</v>
      </c>
      <c r="G38" s="112"/>
      <c r="H38" s="113"/>
      <c r="I38" s="16"/>
      <c r="J38" s="16"/>
    </row>
    <row r="39" spans="2:10" ht="15">
      <c r="B39" s="16"/>
      <c r="C39" s="159" t="s">
        <v>31</v>
      </c>
      <c r="D39" s="160"/>
      <c r="E39" s="160"/>
      <c r="F39" s="114">
        <f>+ROUND(F21*40%,-3)</f>
        <v>36620000</v>
      </c>
      <c r="G39" s="114"/>
      <c r="H39" s="115"/>
      <c r="I39" s="16"/>
      <c r="J39" s="16"/>
    </row>
    <row r="40" spans="2:10" ht="15">
      <c r="B40" s="16"/>
      <c r="C40" s="149" t="s">
        <v>56</v>
      </c>
      <c r="D40" s="150"/>
      <c r="E40" s="151"/>
      <c r="F40" s="152">
        <f>5040*D7</f>
        <v>182992320</v>
      </c>
      <c r="G40" s="153"/>
      <c r="H40" s="154"/>
      <c r="I40" s="16"/>
      <c r="J40" s="16"/>
    </row>
    <row r="41" spans="2:10" ht="15.75" thickBot="1">
      <c r="B41" s="16"/>
      <c r="C41" s="118" t="s">
        <v>32</v>
      </c>
      <c r="D41" s="119"/>
      <c r="E41" s="119"/>
      <c r="F41" s="116">
        <f>+F26+F35+F37</f>
        <v>38338000</v>
      </c>
      <c r="G41" s="116"/>
      <c r="H41" s="117"/>
      <c r="I41" s="16"/>
      <c r="J41" s="16"/>
    </row>
    <row r="42" spans="2:10" ht="15.75" thickBot="1">
      <c r="B42" s="16"/>
      <c r="C42" s="122" t="s">
        <v>33</v>
      </c>
      <c r="D42" s="123"/>
      <c r="E42" s="123"/>
      <c r="F42" s="126">
        <f>+F21-MIN(F39,F40,F41)</f>
        <v>54931000</v>
      </c>
      <c r="G42" s="126"/>
      <c r="H42" s="127"/>
      <c r="I42" s="16"/>
      <c r="J42" s="16"/>
    </row>
    <row r="43" spans="2:10" ht="15.75" thickBot="1">
      <c r="B43" s="16"/>
      <c r="C43" s="21"/>
      <c r="D43" s="32"/>
      <c r="E43" s="23"/>
      <c r="F43" s="29"/>
      <c r="G43" s="28"/>
      <c r="H43" s="16"/>
      <c r="I43" s="16"/>
      <c r="J43" s="16"/>
    </row>
    <row r="44" spans="2:10" ht="27" customHeight="1">
      <c r="B44" s="16"/>
      <c r="C44" s="66" t="s">
        <v>21</v>
      </c>
      <c r="D44" s="67"/>
      <c r="E44" s="67"/>
      <c r="F44" s="120">
        <f>ROUND(+F42/13,-3)</f>
        <v>4225000</v>
      </c>
      <c r="G44" s="120"/>
      <c r="H44" s="121"/>
      <c r="I44" s="16"/>
      <c r="J44" s="16"/>
    </row>
    <row r="45" spans="2:10" ht="15">
      <c r="B45" s="16"/>
      <c r="C45" s="52" t="s">
        <v>9</v>
      </c>
      <c r="D45" s="53"/>
      <c r="E45" s="53"/>
      <c r="F45" s="88">
        <f>+F44</f>
        <v>4225000</v>
      </c>
      <c r="G45" s="88"/>
      <c r="H45" s="89"/>
      <c r="I45" s="16"/>
      <c r="J45" s="16"/>
    </row>
    <row r="46" spans="2:10" ht="15">
      <c r="B46" s="16"/>
      <c r="C46" s="52" t="s">
        <v>10</v>
      </c>
      <c r="D46" s="53"/>
      <c r="E46" s="53"/>
      <c r="F46" s="88">
        <f>+F45</f>
        <v>4225000</v>
      </c>
      <c r="G46" s="88"/>
      <c r="H46" s="89"/>
      <c r="I46" s="12"/>
      <c r="J46" s="12"/>
    </row>
    <row r="47" spans="2:10" ht="15">
      <c r="B47" s="16"/>
      <c r="C47" s="131" t="s">
        <v>11</v>
      </c>
      <c r="D47" s="132"/>
      <c r="E47" s="132"/>
      <c r="F47" s="128">
        <f>+F46/D61</f>
        <v>116.3655392750909</v>
      </c>
      <c r="G47" s="128"/>
      <c r="H47" s="129"/>
      <c r="I47" s="16"/>
      <c r="J47" s="16"/>
    </row>
    <row r="48" spans="2:8" ht="15.75" thickBot="1">
      <c r="B48" s="16"/>
      <c r="C48" s="135" t="s">
        <v>77</v>
      </c>
      <c r="D48" s="136"/>
      <c r="E48" s="136"/>
      <c r="F48" s="133">
        <f>IF(H57&gt;0,((H57/D61)/D62),IF(H58&gt;0,((H58/D61)/D62),IF(H59&gt;0,((H59/D61)/D62),IF(H56&gt;0,((H56/D61)/D62),IF(H55&gt;0,((H55/D61)/D62),IF(H54&gt;0,((H54/D61)/D62),0))))))</f>
        <v>0.03479289940828402</v>
      </c>
      <c r="G48" s="133"/>
      <c r="H48" s="134"/>
    </row>
    <row r="49" spans="2:5" ht="15">
      <c r="B49" s="16"/>
      <c r="C49" s="16"/>
      <c r="D49" s="18"/>
      <c r="E49" s="16"/>
    </row>
    <row r="50" spans="2:7" ht="15.75" thickBot="1">
      <c r="B50" s="16"/>
      <c r="C50" s="16"/>
      <c r="D50" s="18"/>
      <c r="E50" s="16"/>
      <c r="G50" s="25"/>
    </row>
    <row r="51" spans="2:8" ht="61.5" customHeight="1" thickBot="1">
      <c r="B51" s="37"/>
      <c r="C51" s="140" t="s">
        <v>12</v>
      </c>
      <c r="D51" s="142" t="s">
        <v>13</v>
      </c>
      <c r="E51" s="143"/>
      <c r="F51" s="143"/>
      <c r="G51" s="144"/>
      <c r="H51" s="138" t="s">
        <v>63</v>
      </c>
    </row>
    <row r="52" spans="2:8" ht="15.75" thickBot="1">
      <c r="B52" s="38" t="s">
        <v>14</v>
      </c>
      <c r="C52" s="141"/>
      <c r="D52" s="145"/>
      <c r="E52" s="146"/>
      <c r="F52" s="146"/>
      <c r="G52" s="147"/>
      <c r="H52" s="139"/>
    </row>
    <row r="53" spans="2:8" ht="36.75" customHeight="1">
      <c r="B53" s="39">
        <v>95</v>
      </c>
      <c r="C53" s="40">
        <v>0</v>
      </c>
      <c r="D53" s="148">
        <v>0</v>
      </c>
      <c r="E53" s="148"/>
      <c r="F53" s="148"/>
      <c r="G53" s="148"/>
      <c r="H53" s="41">
        <f>IF(F47&lt;B53,0,0)</f>
        <v>0</v>
      </c>
    </row>
    <row r="54" spans="2:8" ht="36.75" customHeight="1">
      <c r="B54" s="42">
        <v>150</v>
      </c>
      <c r="C54" s="43">
        <v>0.19</v>
      </c>
      <c r="D54" s="130" t="s">
        <v>64</v>
      </c>
      <c r="E54" s="130"/>
      <c r="F54" s="130"/>
      <c r="G54" s="130"/>
      <c r="H54" s="44">
        <f>IF($D$62&gt;95,(IF($D$62&lt;=150,ROUND(((($D$62-95)*19%)*$D61),-3),0)),0)</f>
        <v>147000</v>
      </c>
    </row>
    <row r="55" spans="2:8" ht="36.75" customHeight="1">
      <c r="B55" s="42">
        <v>360</v>
      </c>
      <c r="C55" s="43">
        <v>0.28</v>
      </c>
      <c r="D55" s="130" t="s">
        <v>65</v>
      </c>
      <c r="E55" s="130"/>
      <c r="F55" s="130"/>
      <c r="G55" s="130"/>
      <c r="H55" s="44">
        <f>IF($D$62&gt;150,IF($D$62&lt;=360,ROUND(((($D$62-150)*28%)*$D61)+(10*$D61),-3),0),0)</f>
        <v>0</v>
      </c>
    </row>
    <row r="56" spans="2:8" ht="36.75" customHeight="1">
      <c r="B56" s="45">
        <v>640</v>
      </c>
      <c r="C56" s="46">
        <v>0.33</v>
      </c>
      <c r="D56" s="130" t="s">
        <v>66</v>
      </c>
      <c r="E56" s="130"/>
      <c r="F56" s="130"/>
      <c r="G56" s="130"/>
      <c r="H56" s="44">
        <f>IF($D$62&gt;360,IF($D$62&lt;=640,ROUND(((($D$62-360)*33%)*$D61)+(69*$D61),-3),0),0)</f>
        <v>0</v>
      </c>
    </row>
    <row r="57" spans="2:8" ht="36.75" customHeight="1">
      <c r="B57" s="45">
        <v>945</v>
      </c>
      <c r="C57" s="46">
        <v>0.35</v>
      </c>
      <c r="D57" s="130" t="s">
        <v>67</v>
      </c>
      <c r="E57" s="130"/>
      <c r="F57" s="130"/>
      <c r="G57" s="130"/>
      <c r="H57" s="44">
        <f>IF($D$62&gt;640,IF($D$62&lt;=945,ROUND(((($D$62-640)*35%)*$D61)+(162*$D61),-3),0),0)</f>
        <v>0</v>
      </c>
    </row>
    <row r="58" spans="2:8" ht="36.75" customHeight="1">
      <c r="B58" s="45">
        <v>2300</v>
      </c>
      <c r="C58" s="46">
        <v>0.37</v>
      </c>
      <c r="D58" s="130" t="s">
        <v>68</v>
      </c>
      <c r="E58" s="130"/>
      <c r="F58" s="130"/>
      <c r="G58" s="130"/>
      <c r="H58" s="44">
        <f>IF($D$62&gt;945,IF($D$62&lt;=2300,ROUND(((($D$62-945)*37%)*$D61)+(268*$D61),-3),0),0)</f>
        <v>0</v>
      </c>
    </row>
    <row r="59" spans="2:8" ht="36.75" customHeight="1" thickBot="1">
      <c r="B59" s="47" t="s">
        <v>15</v>
      </c>
      <c r="C59" s="48">
        <v>0.39</v>
      </c>
      <c r="D59" s="137" t="s">
        <v>69</v>
      </c>
      <c r="E59" s="137"/>
      <c r="F59" s="137"/>
      <c r="G59" s="137"/>
      <c r="H59" s="49">
        <f>IF($D$62&gt;2300,ROUND(((($D$62-2300)*39%)*$D$61)+(770*$D$61),-3),0)</f>
        <v>0</v>
      </c>
    </row>
    <row r="60" ht="15" customHeight="1" thickBot="1">
      <c r="G60" s="25"/>
    </row>
    <row r="61" spans="3:8" ht="15" customHeight="1" thickBot="1">
      <c r="C61" s="8" t="str">
        <f>+C7</f>
        <v>UVT 2021</v>
      </c>
      <c r="D61" s="9">
        <f>+D7</f>
        <v>36308</v>
      </c>
      <c r="G61" s="25"/>
      <c r="H61" s="1"/>
    </row>
    <row r="62" spans="3:8" ht="15.75" thickBot="1">
      <c r="C62" s="10" t="s">
        <v>16</v>
      </c>
      <c r="D62" s="11">
        <f>+F47</f>
        <v>116.3655392750909</v>
      </c>
      <c r="G62" s="25"/>
      <c r="H62" s="1"/>
    </row>
  </sheetData>
  <sheetProtection/>
  <mergeCells count="93">
    <mergeCell ref="F19:H19"/>
    <mergeCell ref="C40:E40"/>
    <mergeCell ref="F40:H40"/>
    <mergeCell ref="C36:E36"/>
    <mergeCell ref="C37:E37"/>
    <mergeCell ref="C38:E38"/>
    <mergeCell ref="C39:E39"/>
    <mergeCell ref="F36:H36"/>
    <mergeCell ref="F29:H29"/>
    <mergeCell ref="F33:H33"/>
    <mergeCell ref="D56:G56"/>
    <mergeCell ref="D57:G57"/>
    <mergeCell ref="D58:G58"/>
    <mergeCell ref="D59:G59"/>
    <mergeCell ref="H51:H52"/>
    <mergeCell ref="C51:C52"/>
    <mergeCell ref="D51:G52"/>
    <mergeCell ref="D53:G53"/>
    <mergeCell ref="D54:G54"/>
    <mergeCell ref="F46:H46"/>
    <mergeCell ref="F47:H47"/>
    <mergeCell ref="D55:G55"/>
    <mergeCell ref="C46:E46"/>
    <mergeCell ref="C47:E47"/>
    <mergeCell ref="F48:H48"/>
    <mergeCell ref="C48:E48"/>
    <mergeCell ref="F34:H34"/>
    <mergeCell ref="C42:E42"/>
    <mergeCell ref="F30:H30"/>
    <mergeCell ref="C34:E34"/>
    <mergeCell ref="C35:E35"/>
    <mergeCell ref="F42:H42"/>
    <mergeCell ref="C44:E44"/>
    <mergeCell ref="C45:E45"/>
    <mergeCell ref="F37:H37"/>
    <mergeCell ref="F38:H38"/>
    <mergeCell ref="F39:H39"/>
    <mergeCell ref="F41:H41"/>
    <mergeCell ref="C41:E41"/>
    <mergeCell ref="F44:H44"/>
    <mergeCell ref="F45:H45"/>
    <mergeCell ref="C16:H16"/>
    <mergeCell ref="C22:H22"/>
    <mergeCell ref="F35:H35"/>
    <mergeCell ref="C28:H28"/>
    <mergeCell ref="F31:H31"/>
    <mergeCell ref="F32:H32"/>
    <mergeCell ref="C32:E32"/>
    <mergeCell ref="C33:E33"/>
    <mergeCell ref="F23:H23"/>
    <mergeCell ref="F24:H24"/>
    <mergeCell ref="F25:H25"/>
    <mergeCell ref="F26:H26"/>
    <mergeCell ref="F27:H27"/>
    <mergeCell ref="F9:H9"/>
    <mergeCell ref="F10:H10"/>
    <mergeCell ref="F13:H13"/>
    <mergeCell ref="F15:H15"/>
    <mergeCell ref="F17:H17"/>
    <mergeCell ref="F18:H18"/>
    <mergeCell ref="F20:H20"/>
    <mergeCell ref="F21:H21"/>
    <mergeCell ref="C8:H8"/>
    <mergeCell ref="F4:H4"/>
    <mergeCell ref="C4:E4"/>
    <mergeCell ref="C5:H5"/>
    <mergeCell ref="C6:H6"/>
    <mergeCell ref="C9:E9"/>
    <mergeCell ref="C13:E13"/>
    <mergeCell ref="C10:E10"/>
    <mergeCell ref="C15:E15"/>
    <mergeCell ref="A1:H1"/>
    <mergeCell ref="C2:H2"/>
    <mergeCell ref="C3:H3"/>
    <mergeCell ref="C11:E11"/>
    <mergeCell ref="C12:E12"/>
    <mergeCell ref="C14:E14"/>
    <mergeCell ref="F11:H11"/>
    <mergeCell ref="F12:H12"/>
    <mergeCell ref="F14:H14"/>
    <mergeCell ref="C17:E17"/>
    <mergeCell ref="C18:E18"/>
    <mergeCell ref="C20:E20"/>
    <mergeCell ref="C21:E21"/>
    <mergeCell ref="C23:E23"/>
    <mergeCell ref="C24:E24"/>
    <mergeCell ref="C19:E19"/>
    <mergeCell ref="C25:E25"/>
    <mergeCell ref="C26:E26"/>
    <mergeCell ref="C27:E27"/>
    <mergeCell ref="C29:E29"/>
    <mergeCell ref="C30:E30"/>
    <mergeCell ref="C31:E31"/>
  </mergeCells>
  <hyperlinks>
    <hyperlink ref="C9" r:id="rId1" display="Salario. (Excluir Cesantías e intereses de cesantias). Ver Concepto 38923 de 2013)"/>
  </hyperlinks>
  <printOptions/>
  <pageMargins left="0.75" right="0.75" top="0.35" bottom="0.2275" header="0.3" footer="0.3"/>
  <pageSetup horizontalDpi="600" verticalDpi="600" orientation="portrait" scale="63"/>
  <legacyDrawing r:id="rId3"/>
</worksheet>
</file>

<file path=xl/worksheets/sheet2.xml><?xml version="1.0" encoding="utf-8"?>
<worksheet xmlns="http://schemas.openxmlformats.org/spreadsheetml/2006/main" xmlns:r="http://schemas.openxmlformats.org/officeDocument/2006/relationships">
  <dimension ref="B1:J46"/>
  <sheetViews>
    <sheetView zoomScalePageLayoutView="150" workbookViewId="0" topLeftCell="A1">
      <selection activeCell="J35" sqref="J35"/>
    </sheetView>
  </sheetViews>
  <sheetFormatPr defaultColWidth="10.7109375" defaultRowHeight="15"/>
  <cols>
    <col min="1" max="1" width="2.7109375" style="1" customWidth="1"/>
    <col min="2" max="2" width="45.28125" style="1" customWidth="1"/>
    <col min="3" max="3" width="9.7109375" style="2" customWidth="1"/>
    <col min="4" max="4" width="3.140625" style="1" customWidth="1"/>
    <col min="5" max="5" width="8.7109375" style="1" customWidth="1"/>
    <col min="6" max="6" width="10.7109375" style="15" bestFit="1" customWidth="1"/>
    <col min="7" max="7" width="6.00390625" style="1" customWidth="1"/>
    <col min="8" max="8" width="10.7109375" style="3" customWidth="1"/>
    <col min="9" max="16384" width="10.7109375" style="1" customWidth="1"/>
  </cols>
  <sheetData>
    <row r="1" spans="2:7" ht="15.75">
      <c r="B1" s="164" t="s">
        <v>17</v>
      </c>
      <c r="C1" s="164"/>
      <c r="D1" s="164"/>
      <c r="E1" s="164"/>
      <c r="F1" s="164"/>
      <c r="G1" s="164"/>
    </row>
    <row r="2" spans="2:7" ht="15.75">
      <c r="B2" s="164" t="s">
        <v>18</v>
      </c>
      <c r="C2" s="164"/>
      <c r="D2" s="164"/>
      <c r="E2" s="164"/>
      <c r="F2" s="164"/>
      <c r="G2" s="164"/>
    </row>
    <row r="3" spans="2:7" ht="16.5" thickBot="1">
      <c r="B3" s="165" t="s">
        <v>70</v>
      </c>
      <c r="C3" s="165"/>
      <c r="D3" s="165"/>
      <c r="E3" s="165"/>
      <c r="F3" s="165"/>
      <c r="G3" s="165"/>
    </row>
    <row r="4" spans="2:7" ht="15.75" thickBot="1">
      <c r="B4" s="161" t="s">
        <v>34</v>
      </c>
      <c r="C4" s="162"/>
      <c r="D4" s="162"/>
      <c r="E4" s="162"/>
      <c r="F4" s="162"/>
      <c r="G4" s="163"/>
    </row>
    <row r="5" spans="2:7" ht="15">
      <c r="B5" s="81" t="s">
        <v>19</v>
      </c>
      <c r="C5" s="81"/>
      <c r="D5" s="81"/>
      <c r="E5" s="81"/>
      <c r="F5" s="81"/>
      <c r="G5" s="81"/>
    </row>
    <row r="6" spans="2:7" ht="15.75" thickBot="1">
      <c r="B6" s="34" t="s">
        <v>71</v>
      </c>
      <c r="C6" s="35"/>
      <c r="D6" s="166"/>
      <c r="E6" s="166"/>
      <c r="F6" s="167">
        <v>36308</v>
      </c>
      <c r="G6" s="167"/>
    </row>
    <row r="7" spans="2:7" ht="15.75" thickBot="1">
      <c r="B7" s="161" t="s">
        <v>35</v>
      </c>
      <c r="C7" s="162"/>
      <c r="D7" s="162"/>
      <c r="E7" s="162"/>
      <c r="F7" s="162"/>
      <c r="G7" s="163"/>
    </row>
    <row r="8" spans="2:7" ht="15">
      <c r="B8" s="168" t="s">
        <v>57</v>
      </c>
      <c r="C8" s="169"/>
      <c r="D8" s="170"/>
      <c r="E8" s="171">
        <v>4500000</v>
      </c>
      <c r="F8" s="96"/>
      <c r="G8" s="97"/>
    </row>
    <row r="9" spans="2:7" ht="15">
      <c r="B9" s="168" t="s">
        <v>58</v>
      </c>
      <c r="C9" s="169"/>
      <c r="D9" s="170"/>
      <c r="E9" s="171">
        <v>100000</v>
      </c>
      <c r="F9" s="96"/>
      <c r="G9" s="97"/>
    </row>
    <row r="10" spans="2:7" ht="15">
      <c r="B10" s="168" t="s">
        <v>49</v>
      </c>
      <c r="C10" s="169"/>
      <c r="D10" s="170"/>
      <c r="E10" s="171"/>
      <c r="F10" s="96"/>
      <c r="G10" s="97"/>
    </row>
    <row r="11" spans="2:7" ht="15">
      <c r="B11" s="168" t="s">
        <v>50</v>
      </c>
      <c r="C11" s="169"/>
      <c r="D11" s="170"/>
      <c r="E11" s="171"/>
      <c r="F11" s="96"/>
      <c r="G11" s="97"/>
    </row>
    <row r="12" spans="2:7" ht="15">
      <c r="B12" s="168" t="s">
        <v>51</v>
      </c>
      <c r="C12" s="169"/>
      <c r="D12" s="170"/>
      <c r="E12" s="171">
        <v>0</v>
      </c>
      <c r="F12" s="96"/>
      <c r="G12" s="97"/>
    </row>
    <row r="13" spans="2:7" ht="15.75" thickBot="1">
      <c r="B13" s="124" t="s">
        <v>36</v>
      </c>
      <c r="C13" s="125"/>
      <c r="D13" s="172"/>
      <c r="E13" s="173">
        <f>SUM(E8:G12)</f>
        <v>4600000</v>
      </c>
      <c r="F13" s="105"/>
      <c r="G13" s="106"/>
    </row>
    <row r="14" spans="2:5" ht="15.75" thickBot="1">
      <c r="B14" s="5"/>
      <c r="C14" s="7"/>
      <c r="D14" s="17"/>
      <c r="E14" s="6"/>
    </row>
    <row r="15" spans="2:7" ht="15.75" thickBot="1">
      <c r="B15" s="161" t="s">
        <v>37</v>
      </c>
      <c r="C15" s="162"/>
      <c r="D15" s="162"/>
      <c r="E15" s="162"/>
      <c r="F15" s="162"/>
      <c r="G15" s="163"/>
    </row>
    <row r="16" spans="2:7" ht="24.75" customHeight="1">
      <c r="B16" s="168" t="s">
        <v>59</v>
      </c>
      <c r="C16" s="169"/>
      <c r="D16" s="169"/>
      <c r="E16" s="174">
        <v>648000</v>
      </c>
      <c r="F16" s="175"/>
      <c r="G16" s="176"/>
    </row>
    <row r="17" spans="2:7" ht="24.75" customHeight="1">
      <c r="B17" s="168" t="s">
        <v>60</v>
      </c>
      <c r="C17" s="169"/>
      <c r="D17" s="169"/>
      <c r="E17" s="70">
        <v>0</v>
      </c>
      <c r="F17" s="71"/>
      <c r="G17" s="72"/>
    </row>
    <row r="18" spans="2:7" ht="15">
      <c r="B18" s="50" t="s">
        <v>61</v>
      </c>
      <c r="C18" s="51"/>
      <c r="D18" s="51"/>
      <c r="E18" s="70">
        <v>0</v>
      </c>
      <c r="F18" s="71"/>
      <c r="G18" s="72"/>
    </row>
    <row r="19" spans="2:7" ht="27.75" customHeight="1" thickBot="1">
      <c r="B19" s="50" t="str">
        <f>+"4. Aportes voluntarios a Fondo de pensión obligatoria. Maximo 25% Ingreso laboral, sin exceder 2.500 uvt $"&amp;240*F6</f>
        <v>4. Aportes voluntarios a Fondo de pensión obligatoria. Maximo 25% Ingreso laboral, sin exceder 2.500 uvt $8713920</v>
      </c>
      <c r="C19" s="51"/>
      <c r="D19" s="51"/>
      <c r="E19" s="86">
        <v>0</v>
      </c>
      <c r="F19" s="86"/>
      <c r="G19" s="87"/>
    </row>
    <row r="20" spans="2:7" ht="15">
      <c r="B20" s="177" t="s">
        <v>38</v>
      </c>
      <c r="C20" s="178"/>
      <c r="D20" s="178"/>
      <c r="E20" s="175">
        <f>SUM(E16:G19)</f>
        <v>648000</v>
      </c>
      <c r="F20" s="175"/>
      <c r="G20" s="176"/>
    </row>
    <row r="21" spans="2:7" ht="15.75" thickBot="1">
      <c r="B21" s="124" t="s">
        <v>0</v>
      </c>
      <c r="C21" s="125"/>
      <c r="D21" s="172"/>
      <c r="E21" s="173">
        <f>+E13-E20</f>
        <v>3952000</v>
      </c>
      <c r="F21" s="105"/>
      <c r="G21" s="106"/>
    </row>
    <row r="22" spans="2:5" ht="15.75" thickBot="1">
      <c r="B22" s="5"/>
      <c r="C22" s="7"/>
      <c r="D22" s="17"/>
      <c r="E22" s="6"/>
    </row>
    <row r="23" spans="2:7" ht="15.75" thickBot="1">
      <c r="B23" s="161" t="s">
        <v>7</v>
      </c>
      <c r="C23" s="162"/>
      <c r="D23" s="162"/>
      <c r="E23" s="162"/>
      <c r="F23" s="162"/>
      <c r="G23" s="163"/>
    </row>
    <row r="24" spans="2:7" ht="28.5" customHeight="1">
      <c r="B24" s="179" t="str">
        <f>"1. Pago intereses de vivienda o Costo Financiero Leasing Habitacional. Limite maximo 100 UVT Mensuales UVT Dcto 1625 de 2016. $"&amp;ROUND(+F6*100,-3)</f>
        <v>1. Pago intereses de vivienda o Costo Financiero Leasing Habitacional. Limite maximo 100 UVT Mensuales UVT Dcto 1625 de 2016. $3631000</v>
      </c>
      <c r="C24" s="180"/>
      <c r="D24" s="180"/>
      <c r="E24" s="92">
        <v>835000</v>
      </c>
      <c r="F24" s="92"/>
      <c r="G24" s="93"/>
    </row>
    <row r="25" spans="2:8" ht="39" customHeight="1">
      <c r="B25" s="181" t="str">
        <f>"2. Deduccion por dependientes (Ver Art. 387 E.T.) No puede exceder del 10% del ingreso bruto del trabajador y maximo 32 UVT mensuales.  $"&amp;+ROUND(F6*32,-3)</f>
        <v>2. Deduccion por dependientes (Ver Art. 387 E.T.) No puede exceder del 10% del ingreso bruto del trabajador y maximo 32 UVT mensuales.  $1162000</v>
      </c>
      <c r="C25" s="182"/>
      <c r="D25" s="182"/>
      <c r="E25" s="86">
        <v>0</v>
      </c>
      <c r="F25" s="86"/>
      <c r="G25" s="87"/>
      <c r="H25" s="19"/>
    </row>
    <row r="26" spans="2:8" ht="28.5" customHeight="1">
      <c r="B26" s="181" t="str">
        <f>+"3. Pagos Por Salud medicina prepagada. No puede Exceder 16 Uvt Mensuales $"&amp;+F6*16</f>
        <v>3. Pagos Por Salud medicina prepagada. No puede Exceder 16 Uvt Mensuales $580928</v>
      </c>
      <c r="C26" s="182"/>
      <c r="D26" s="182"/>
      <c r="E26" s="86">
        <v>0</v>
      </c>
      <c r="F26" s="86"/>
      <c r="G26" s="87"/>
      <c r="H26" s="19"/>
    </row>
    <row r="27" spans="2:7" ht="15">
      <c r="B27" s="52" t="s">
        <v>8</v>
      </c>
      <c r="C27" s="53"/>
      <c r="D27" s="53"/>
      <c r="E27" s="88">
        <f>SUM(E24:G26)</f>
        <v>835000</v>
      </c>
      <c r="F27" s="88"/>
      <c r="G27" s="89"/>
    </row>
    <row r="28" spans="2:7" ht="15.75" thickBot="1">
      <c r="B28" s="124" t="s">
        <v>1</v>
      </c>
      <c r="C28" s="125"/>
      <c r="D28" s="125"/>
      <c r="E28" s="105">
        <f>+E21-E27</f>
        <v>3117000</v>
      </c>
      <c r="F28" s="105"/>
      <c r="G28" s="106"/>
    </row>
    <row r="29" spans="2:5" ht="15.75" thickBot="1">
      <c r="B29" s="16"/>
      <c r="C29" s="18"/>
      <c r="D29" s="17"/>
      <c r="E29" s="14"/>
    </row>
    <row r="30" spans="2:7" ht="15.75" thickBot="1">
      <c r="B30" s="161" t="s">
        <v>3</v>
      </c>
      <c r="C30" s="162"/>
      <c r="D30" s="162"/>
      <c r="E30" s="162"/>
      <c r="F30" s="162"/>
      <c r="G30" s="163"/>
    </row>
    <row r="31" spans="2:7" ht="15">
      <c r="B31" s="189" t="s">
        <v>20</v>
      </c>
      <c r="C31" s="190"/>
      <c r="D31" s="190"/>
      <c r="E31" s="96">
        <v>225000</v>
      </c>
      <c r="F31" s="96"/>
      <c r="G31" s="97"/>
    </row>
    <row r="32" spans="2:7" ht="15">
      <c r="B32" s="181" t="s">
        <v>41</v>
      </c>
      <c r="C32" s="182"/>
      <c r="D32" s="182"/>
      <c r="E32" s="86">
        <v>0</v>
      </c>
      <c r="F32" s="86"/>
      <c r="G32" s="87"/>
    </row>
    <row r="33" spans="2:7" ht="15">
      <c r="B33" s="52" t="s">
        <v>4</v>
      </c>
      <c r="C33" s="53"/>
      <c r="D33" s="53"/>
      <c r="E33" s="88">
        <f>SUM(E31:G32)</f>
        <v>225000</v>
      </c>
      <c r="F33" s="88"/>
      <c r="G33" s="89"/>
    </row>
    <row r="34" spans="2:7" ht="15.75" thickBot="1">
      <c r="B34" s="124" t="s">
        <v>2</v>
      </c>
      <c r="C34" s="125"/>
      <c r="D34" s="125"/>
      <c r="E34" s="105">
        <f>+E28-E33</f>
        <v>2892000</v>
      </c>
      <c r="F34" s="105"/>
      <c r="G34" s="106"/>
    </row>
    <row r="35" spans="2:8" ht="15">
      <c r="B35" s="200" t="str">
        <f>"Renta de Trabajo Exenta (25%). Maximo 240 uvt $"&amp;+ROUND(240*F6,-3)</f>
        <v>Renta de Trabajo Exenta (25%). Maximo 240 uvt $8714000</v>
      </c>
      <c r="C35" s="201"/>
      <c r="D35" s="201"/>
      <c r="E35" s="120">
        <f>+ROUND(E34*25%,-3)</f>
        <v>723000</v>
      </c>
      <c r="F35" s="120"/>
      <c r="G35" s="121"/>
      <c r="H35" s="20"/>
    </row>
    <row r="36" spans="2:8" ht="15.75" thickBot="1">
      <c r="B36" s="124" t="s">
        <v>5</v>
      </c>
      <c r="C36" s="125"/>
      <c r="D36" s="125"/>
      <c r="E36" s="105">
        <f>+E34-E35</f>
        <v>2169000</v>
      </c>
      <c r="F36" s="105"/>
      <c r="G36" s="106"/>
      <c r="H36" s="1"/>
    </row>
    <row r="37" spans="2:8" ht="15.75" thickBot="1">
      <c r="B37" s="21"/>
      <c r="C37" s="21"/>
      <c r="D37" s="21"/>
      <c r="E37" s="24"/>
      <c r="F37" s="24"/>
      <c r="G37" s="24"/>
      <c r="H37" s="1"/>
    </row>
    <row r="38" spans="2:8" ht="15">
      <c r="B38" s="183" t="s">
        <v>39</v>
      </c>
      <c r="C38" s="184"/>
      <c r="D38" s="185"/>
      <c r="E38" s="114">
        <f>+E21*40%</f>
        <v>1580800</v>
      </c>
      <c r="F38" s="114"/>
      <c r="G38" s="115"/>
      <c r="H38" s="1"/>
    </row>
    <row r="39" spans="2:8" ht="15">
      <c r="B39" s="149" t="s">
        <v>62</v>
      </c>
      <c r="C39" s="150"/>
      <c r="D39" s="151"/>
      <c r="E39" s="152">
        <f>ROUND(+F6*420,-3)</f>
        <v>15249000</v>
      </c>
      <c r="F39" s="153"/>
      <c r="G39" s="154"/>
      <c r="H39" s="1"/>
    </row>
    <row r="40" spans="2:8" ht="15.75" thickBot="1">
      <c r="B40" s="186" t="s">
        <v>40</v>
      </c>
      <c r="C40" s="187"/>
      <c r="D40" s="188"/>
      <c r="E40" s="116">
        <f>+E27+E33+E35</f>
        <v>1783000</v>
      </c>
      <c r="F40" s="116"/>
      <c r="G40" s="117"/>
      <c r="H40" s="1"/>
    </row>
    <row r="41" spans="2:8" ht="15.75" thickBot="1">
      <c r="B41" s="21"/>
      <c r="C41" s="21"/>
      <c r="D41" s="21"/>
      <c r="E41" s="24"/>
      <c r="F41" s="24"/>
      <c r="G41" s="24"/>
      <c r="H41" s="1"/>
    </row>
    <row r="42" spans="2:10" ht="15.75" thickBot="1">
      <c r="B42" s="202" t="s">
        <v>10</v>
      </c>
      <c r="C42" s="203"/>
      <c r="D42" s="204"/>
      <c r="E42" s="205">
        <f>+ROUND(E21-MIN(E38,E39,E40),-3)</f>
        <v>2371000</v>
      </c>
      <c r="F42" s="205"/>
      <c r="G42" s="206"/>
      <c r="H42" s="12"/>
      <c r="I42" s="12"/>
      <c r="J42" s="12"/>
    </row>
    <row r="43" spans="2:7" ht="15.75" thickBot="1">
      <c r="B43" s="21"/>
      <c r="C43" s="22"/>
      <c r="D43" s="23"/>
      <c r="E43" s="7"/>
      <c r="G43" s="15"/>
    </row>
    <row r="44" spans="2:7" ht="15.75" thickBot="1">
      <c r="B44" s="191" t="s">
        <v>42</v>
      </c>
      <c r="C44" s="192"/>
      <c r="D44" s="193"/>
      <c r="E44" s="194">
        <f>+'% Fijo retencion'!F48</f>
        <v>0.03479289940828402</v>
      </c>
      <c r="F44" s="195"/>
      <c r="G44" s="196"/>
    </row>
    <row r="45" spans="2:4" ht="15.75" thickBot="1">
      <c r="B45" s="16"/>
      <c r="C45" s="18"/>
      <c r="D45" s="16"/>
    </row>
    <row r="46" spans="2:7" ht="15.75" thickBot="1">
      <c r="B46" s="191" t="s">
        <v>43</v>
      </c>
      <c r="C46" s="192"/>
      <c r="D46" s="193"/>
      <c r="E46" s="197">
        <f>ROUND(+E42*E44,-3)</f>
        <v>82000</v>
      </c>
      <c r="F46" s="198"/>
      <c r="G46" s="199"/>
    </row>
  </sheetData>
  <sheetProtection/>
  <mergeCells count="69">
    <mergeCell ref="B39:D39"/>
    <mergeCell ref="E39:G39"/>
    <mergeCell ref="E10:G10"/>
    <mergeCell ref="B11:D11"/>
    <mergeCell ref="E11:G11"/>
    <mergeCell ref="B12:D12"/>
    <mergeCell ref="E12:G12"/>
    <mergeCell ref="B17:D17"/>
    <mergeCell ref="E17:G17"/>
    <mergeCell ref="E31:G31"/>
    <mergeCell ref="B44:D44"/>
    <mergeCell ref="E44:G44"/>
    <mergeCell ref="E46:G46"/>
    <mergeCell ref="B46:D46"/>
    <mergeCell ref="B35:D35"/>
    <mergeCell ref="E35:G35"/>
    <mergeCell ref="B36:D36"/>
    <mergeCell ref="E36:G36"/>
    <mergeCell ref="B42:D42"/>
    <mergeCell ref="E42:G42"/>
    <mergeCell ref="B32:D32"/>
    <mergeCell ref="E32:G32"/>
    <mergeCell ref="B33:D33"/>
    <mergeCell ref="E33:G33"/>
    <mergeCell ref="B34:D34"/>
    <mergeCell ref="E34:G34"/>
    <mergeCell ref="B27:D27"/>
    <mergeCell ref="E27:G27"/>
    <mergeCell ref="B28:D28"/>
    <mergeCell ref="E28:G28"/>
    <mergeCell ref="E38:G38"/>
    <mergeCell ref="E40:G40"/>
    <mergeCell ref="B38:D38"/>
    <mergeCell ref="B40:D40"/>
    <mergeCell ref="B30:G30"/>
    <mergeCell ref="B31:D31"/>
    <mergeCell ref="B23:G23"/>
    <mergeCell ref="B24:D24"/>
    <mergeCell ref="E24:G24"/>
    <mergeCell ref="B25:D25"/>
    <mergeCell ref="E25:G25"/>
    <mergeCell ref="B26:D26"/>
    <mergeCell ref="E26:G26"/>
    <mergeCell ref="B18:D18"/>
    <mergeCell ref="E18:G18"/>
    <mergeCell ref="B20:D20"/>
    <mergeCell ref="E20:G20"/>
    <mergeCell ref="B21:D21"/>
    <mergeCell ref="E21:G21"/>
    <mergeCell ref="B19:D19"/>
    <mergeCell ref="E19:G19"/>
    <mergeCell ref="B8:D8"/>
    <mergeCell ref="E8:G8"/>
    <mergeCell ref="B13:D13"/>
    <mergeCell ref="E13:G13"/>
    <mergeCell ref="B15:G15"/>
    <mergeCell ref="B16:D16"/>
    <mergeCell ref="E16:G16"/>
    <mergeCell ref="B9:D9"/>
    <mergeCell ref="E9:G9"/>
    <mergeCell ref="B10:D10"/>
    <mergeCell ref="B7:G7"/>
    <mergeCell ref="B1:G1"/>
    <mergeCell ref="B2:G2"/>
    <mergeCell ref="B3:G3"/>
    <mergeCell ref="B4:G4"/>
    <mergeCell ref="B5:G5"/>
    <mergeCell ref="D6:E6"/>
    <mergeCell ref="F6:G6"/>
  </mergeCells>
  <printOptions/>
  <pageMargins left="0.32222222222222224" right="0.3333333333333333" top="0.5" bottom="0.3055555555555556" header="0.5" footer="0.2638888888888889"/>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Gateway</dc:creator>
  <cp:keywords/>
  <dc:description/>
  <cp:lastModifiedBy>Diego Accounter</cp:lastModifiedBy>
  <cp:lastPrinted>2014-01-21T21:05:43Z</cp:lastPrinted>
  <dcterms:created xsi:type="dcterms:W3CDTF">2010-03-10T22:40:40Z</dcterms:created>
  <dcterms:modified xsi:type="dcterms:W3CDTF">2021-07-12T19:21:35Z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