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C:\Users\William Dussan\Dropbox\Aplicativos consultor\"/>
    </mc:Choice>
  </mc:AlternateContent>
  <xr:revisionPtr revIDLastSave="0" documentId="13_ncr:1_{003E6EDA-ADCB-4057-9A4F-EFB414EB704B}" xr6:coauthVersionLast="47" xr6:coauthVersionMax="47" xr10:uidLastSave="{00000000-0000-0000-0000-000000000000}"/>
  <bookViews>
    <workbookView xWindow="-110" yWindow="-110" windowWidth="19420" windowHeight="10420" tabRatio="318" xr2:uid="{00000000-000D-0000-FFFF-FFFF00000000}"/>
  </bookViews>
  <sheets>
    <sheet name="PROC1" sheetId="1" r:id="rId1"/>
    <sheet name="PRINT1" sheetId="6" r:id="rId2"/>
    <sheet name="TABLA" sheetId="2" r:id="rId3"/>
    <sheet name="Tabprima" sheetId="12" r:id="rId4"/>
    <sheet name="clave"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6" l="1"/>
  <c r="I34" i="1"/>
  <c r="I69" i="1" s="1"/>
  <c r="E38" i="1"/>
  <c r="G74" i="1"/>
  <c r="H58" i="1" l="1"/>
  <c r="I61" i="1"/>
  <c r="F56" i="6" s="1"/>
  <c r="I62" i="1"/>
  <c r="F57" i="6" s="1"/>
  <c r="I63" i="1"/>
  <c r="F58" i="6" s="1"/>
  <c r="I64" i="1"/>
  <c r="F59" i="6" s="1"/>
  <c r="I65" i="1"/>
  <c r="F60" i="6" s="1"/>
  <c r="G53" i="1"/>
  <c r="E54" i="1"/>
  <c r="E54" i="6"/>
  <c r="E55" i="6"/>
  <c r="E56" i="6"/>
  <c r="E57" i="6"/>
  <c r="E58" i="6"/>
  <c r="E59" i="6"/>
  <c r="E60" i="6"/>
  <c r="D54" i="6"/>
  <c r="D55" i="6"/>
  <c r="D56" i="6"/>
  <c r="D57" i="6"/>
  <c r="D58" i="6"/>
  <c r="D59" i="6"/>
  <c r="D60" i="6"/>
  <c r="E38" i="6"/>
  <c r="E39" i="6"/>
  <c r="C28" i="12"/>
  <c r="E45" i="1"/>
  <c r="E41" i="6" s="1"/>
  <c r="D39" i="6"/>
  <c r="H43" i="1"/>
  <c r="F21" i="2"/>
  <c r="G51" i="1"/>
  <c r="F64" i="6"/>
  <c r="D23" i="12"/>
  <c r="C31" i="12" s="1"/>
  <c r="E53" i="6"/>
  <c r="D61" i="6"/>
  <c r="D53" i="6"/>
  <c r="E48" i="6"/>
  <c r="D48" i="6"/>
  <c r="E40" i="6"/>
  <c r="D40" i="6"/>
  <c r="D38" i="6"/>
  <c r="H44" i="1"/>
  <c r="H42" i="1"/>
  <c r="I42" i="1" s="1"/>
  <c r="H41" i="1"/>
  <c r="I41" i="1" s="1"/>
  <c r="E57" i="1"/>
  <c r="E66" i="1" s="1"/>
  <c r="I60" i="1"/>
  <c r="F55" i="6" s="1"/>
  <c r="I51" i="1"/>
  <c r="I44" i="1"/>
  <c r="G50" i="1"/>
  <c r="I50" i="1" s="1"/>
  <c r="F29" i="6"/>
  <c r="F28" i="6"/>
  <c r="E27" i="6"/>
  <c r="D27" i="6"/>
  <c r="I31" i="1"/>
  <c r="F27" i="6" s="1"/>
  <c r="E8" i="6"/>
  <c r="E10" i="6"/>
  <c r="F14" i="6"/>
  <c r="E14" i="6"/>
  <c r="D14" i="6"/>
  <c r="D36" i="6"/>
  <c r="D15" i="6"/>
  <c r="D3" i="6"/>
  <c r="D76" i="6"/>
  <c r="D75" i="6"/>
  <c r="D74" i="6"/>
  <c r="D72" i="6"/>
  <c r="D67" i="6"/>
  <c r="D65" i="6"/>
  <c r="D64" i="6"/>
  <c r="D63" i="6"/>
  <c r="D49" i="6"/>
  <c r="D47" i="6"/>
  <c r="D46" i="6"/>
  <c r="D43" i="6"/>
  <c r="D41" i="6"/>
  <c r="D37" i="6"/>
  <c r="D34" i="6"/>
  <c r="D33" i="6"/>
  <c r="D32" i="6"/>
  <c r="D31" i="6"/>
  <c r="D30" i="6"/>
  <c r="D29" i="6"/>
  <c r="D28" i="6"/>
  <c r="D26" i="6"/>
  <c r="D25" i="6"/>
  <c r="D24" i="6"/>
  <c r="D22" i="6"/>
  <c r="D21" i="6"/>
  <c r="D20" i="6"/>
  <c r="D19" i="6"/>
  <c r="D18" i="6"/>
  <c r="D17" i="6"/>
  <c r="D16" i="6"/>
  <c r="E11" i="6"/>
  <c r="D8" i="6"/>
  <c r="D275" i="1"/>
  <c r="D274" i="1"/>
  <c r="E46" i="6"/>
  <c r="E47" i="6"/>
  <c r="E37" i="6"/>
  <c r="E17" i="6"/>
  <c r="E18" i="6"/>
  <c r="E19" i="6"/>
  <c r="E20" i="6"/>
  <c r="E21" i="6"/>
  <c r="E22" i="6"/>
  <c r="E24" i="6"/>
  <c r="E25" i="6"/>
  <c r="E26" i="6"/>
  <c r="E28" i="6"/>
  <c r="E29" i="6"/>
  <c r="E30" i="6"/>
  <c r="E31" i="6"/>
  <c r="E32" i="6"/>
  <c r="E33" i="6"/>
  <c r="E16" i="6"/>
  <c r="F11" i="6"/>
  <c r="F8" i="6"/>
  <c r="D10" i="6"/>
  <c r="D9" i="6"/>
  <c r="D98" i="1"/>
  <c r="D100" i="1" s="1"/>
  <c r="D15" i="1" s="1"/>
  <c r="I29" i="1"/>
  <c r="F25" i="6" s="1"/>
  <c r="I35" i="1"/>
  <c r="F31" i="6" s="1"/>
  <c r="I36" i="1"/>
  <c r="F32" i="6" s="1"/>
  <c r="I27" i="1"/>
  <c r="I37" i="1"/>
  <c r="F33" i="6" s="1"/>
  <c r="I30" i="1"/>
  <c r="F26" i="6" s="1"/>
  <c r="I28" i="1"/>
  <c r="F24" i="6" s="1"/>
  <c r="I26" i="1"/>
  <c r="F22" i="6" s="1"/>
  <c r="I25" i="1"/>
  <c r="F21" i="6" s="1"/>
  <c r="I24" i="1"/>
  <c r="F20" i="6" s="1"/>
  <c r="I23" i="1"/>
  <c r="F19" i="6" s="1"/>
  <c r="I22" i="1"/>
  <c r="F18" i="6" s="1"/>
  <c r="I21" i="1"/>
  <c r="F17" i="6" s="1"/>
  <c r="I20" i="1"/>
  <c r="E34" i="6"/>
  <c r="E5" i="1"/>
  <c r="D5" i="6" s="1"/>
  <c r="F30" i="6"/>
  <c r="G76" i="6"/>
  <c r="J76" i="1" l="1"/>
  <c r="F16" i="6"/>
  <c r="I38" i="1"/>
  <c r="J41" i="1"/>
  <c r="J42" i="1"/>
  <c r="J44" i="1"/>
  <c r="F37" i="6"/>
  <c r="D276" i="1"/>
  <c r="F38" i="6"/>
  <c r="F40" i="6"/>
  <c r="F46" i="6"/>
  <c r="F47" i="6"/>
  <c r="G52" i="1" l="1"/>
  <c r="I52" i="1" s="1"/>
  <c r="G58" i="1"/>
  <c r="I57" i="1" s="1"/>
  <c r="F34" i="6"/>
  <c r="G43" i="1"/>
  <c r="J43" i="1" s="1"/>
  <c r="I43" i="1" s="1"/>
  <c r="D81" i="6"/>
  <c r="F52" i="6" l="1"/>
  <c r="I66" i="1"/>
  <c r="F61" i="6" s="1"/>
  <c r="I54" i="1"/>
  <c r="F49" i="6" s="1"/>
  <c r="F48" i="6"/>
  <c r="I45" i="1"/>
  <c r="I47" i="1" s="1"/>
  <c r="F39" i="6"/>
  <c r="I68" i="1" l="1"/>
  <c r="F74" i="1"/>
  <c r="F41" i="6"/>
  <c r="F43" i="6"/>
  <c r="I70" i="1" l="1"/>
  <c r="F63" i="6"/>
  <c r="F65" i="6" l="1"/>
  <c r="H72" i="1"/>
  <c r="I72" i="1" s="1"/>
  <c r="H74" i="1" s="1"/>
  <c r="I74" i="1" s="1"/>
  <c r="G72" i="1"/>
  <c r="I76" i="1" l="1"/>
  <c r="F69" i="6"/>
  <c r="F67" i="6"/>
  <c r="C30" i="12"/>
  <c r="C32" i="12" s="1"/>
  <c r="D24" i="12" s="1"/>
  <c r="D25" i="12" s="1"/>
  <c r="H7" i="12" s="1"/>
  <c r="G12" i="12" l="1"/>
  <c r="H12" i="12" s="1"/>
  <c r="G17" i="12"/>
  <c r="H17" i="12" s="1"/>
  <c r="G13" i="12"/>
  <c r="H13" i="12" s="1"/>
  <c r="G14" i="12"/>
  <c r="H14" i="12" s="1"/>
  <c r="G15" i="12"/>
  <c r="H15" i="12" s="1"/>
  <c r="G16" i="12"/>
  <c r="H16" i="12" s="1"/>
  <c r="H7" i="2" l="1"/>
  <c r="F72" i="6"/>
  <c r="H18" i="12"/>
  <c r="I81" i="1" s="1"/>
  <c r="F75" i="6" l="1"/>
  <c r="J81" i="1"/>
  <c r="G17" i="2"/>
  <c r="H17" i="2" s="1"/>
  <c r="G16" i="2"/>
  <c r="H16" i="2" s="1"/>
  <c r="G12" i="2"/>
  <c r="H12" i="2" s="1"/>
  <c r="G14" i="2"/>
  <c r="H14" i="2" s="1"/>
  <c r="G15" i="2"/>
  <c r="H15" i="2" s="1"/>
  <c r="F20" i="2"/>
  <c r="F22" i="2" s="1"/>
  <c r="F23" i="2" s="1"/>
  <c r="F24" i="2" s="1"/>
  <c r="G13" i="2"/>
  <c r="H13" i="2" s="1"/>
  <c r="H18" i="2" l="1"/>
  <c r="F27" i="2" l="1"/>
  <c r="I80" i="1"/>
  <c r="J80" i="1" s="1"/>
  <c r="F74" i="6" l="1"/>
  <c r="I83" i="1"/>
  <c r="F7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William Dussan</author>
  </authors>
  <commentList>
    <comment ref="D29" authorId="0" shapeId="0" xr:uid="{00000000-0006-0000-0000-000001000000}">
      <text>
        <r>
          <rPr>
            <b/>
            <sz val="8"/>
            <color indexed="81"/>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color indexed="81"/>
            <rFont val="Tahoma"/>
            <family val="2"/>
          </rPr>
          <t xml:space="preserve">
</t>
        </r>
      </text>
    </comment>
    <comment ref="D34" authorId="0" shapeId="0" xr:uid="{00000000-0006-0000-0000-000003000000}">
      <text>
        <r>
          <rPr>
            <b/>
            <sz val="9"/>
            <color indexed="81"/>
            <rFont val="Tahoma"/>
            <family val="2"/>
          </rPr>
          <t xml:space="preserve">Por el método 1, este valor debe calcularse de forma independiente
</t>
        </r>
      </text>
    </comment>
    <comment ref="D50" authorId="0" shapeId="0" xr:uid="{7E2663B2-6E29-490B-B520-33A40A33B933}">
      <text>
        <r>
          <rPr>
            <b/>
            <sz val="9"/>
            <color indexed="81"/>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51" authorId="0" shapeId="0" xr:uid="{E2C9299A-B008-4CEF-B3EF-23437A72A506}">
      <text>
        <r>
          <rPr>
            <b/>
            <sz val="9"/>
            <color indexed="81"/>
            <rFont val="Tahoma"/>
            <family val="2"/>
          </rPr>
          <t xml:space="preserve">Art 387 ET, </t>
        </r>
        <r>
          <rPr>
            <sz val="9"/>
            <color indexed="81"/>
            <rFont val="Tahoma"/>
            <family val="2"/>
          </rPr>
          <t xml:space="preserve">El trabajador podrá disminuir de su base de retención lo dispuesto en el inciso anterior; los pagos por salud, siempre que el valor a disminuir mensualmente, en este último caso, no supere dieciséis (16) UVT mensuales;.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color indexed="81"/>
            <rFont val="Tahoma"/>
            <family val="2"/>
          </rPr>
          <t>PARÁGRAFO 1o.</t>
        </r>
        <r>
          <rPr>
            <sz val="9"/>
            <color indexed="81"/>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text>
    </comment>
    <comment ref="D52" authorId="1" shapeId="0" xr:uid="{6DDAFA75-5F42-4BC8-858B-C5C9378E833E}">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23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text>
    </comment>
  </commentList>
</comments>
</file>

<file path=xl/sharedStrings.xml><?xml version="1.0" encoding="utf-8"?>
<sst xmlns="http://schemas.openxmlformats.org/spreadsheetml/2006/main" count="157" uniqueCount="123">
  <si>
    <t>&gt;0</t>
  </si>
  <si>
    <t>En adelante</t>
  </si>
  <si>
    <t>240 UVT</t>
  </si>
  <si>
    <t>MÁS</t>
  </si>
  <si>
    <t>UVT</t>
  </si>
  <si>
    <t>TOTAL INGRESOS AÑO ANTERIOR</t>
  </si>
  <si>
    <t>Tabla netamente informativa</t>
  </si>
  <si>
    <t>www.consultorcontable.com</t>
  </si>
  <si>
    <t>16 UVT</t>
  </si>
  <si>
    <t>Procedimiento No. 1</t>
  </si>
  <si>
    <t>Datos</t>
  </si>
  <si>
    <t>Limites</t>
  </si>
  <si>
    <t>Depuración</t>
  </si>
  <si>
    <t>Mes</t>
  </si>
  <si>
    <t>Conceptos</t>
  </si>
  <si>
    <t>Subtotal  (A)</t>
  </si>
  <si>
    <t>Total deducciones</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</si>
  <si>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</si>
  <si>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</si>
  <si>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</si>
  <si>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</si>
  <si>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</si>
  <si>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</si>
  <si>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</si>
  <si>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</si>
  <si>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</si>
  <si>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</si>
  <si>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</si>
  <si>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</si>
  <si>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</si>
  <si>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</si>
  <si>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</si>
  <si>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</si>
  <si>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</si>
  <si>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</si>
  <si>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Prima</t>
  </si>
  <si>
    <t>Salarios</t>
  </si>
  <si>
    <t xml:space="preserve">Prima </t>
  </si>
  <si>
    <t>Menos renta exenta 25%</t>
  </si>
  <si>
    <t>Limite 240 UVT</t>
  </si>
  <si>
    <t>Base de retención prima</t>
  </si>
  <si>
    <t>Exceso de las 41 UVT por pagos por concepto de alimentación (art 387-1 ET)</t>
  </si>
  <si>
    <t>Otros auxilios (movilidad, alimentación, etc.)</t>
  </si>
  <si>
    <t>Viáticos</t>
  </si>
  <si>
    <t>100 UVT , promedio año anterior</t>
  </si>
  <si>
    <t>Formulas Limites</t>
  </si>
  <si>
    <t/>
  </si>
  <si>
    <t>Menos Deducciones</t>
  </si>
  <si>
    <t>__________________</t>
  </si>
  <si>
    <t>Revisó</t>
  </si>
  <si>
    <t>Menos rentas exentas</t>
  </si>
  <si>
    <t>Menos deducciones</t>
  </si>
  <si>
    <t>Aportes a Fondos de Pensiones Voluntarias (art. 126-1 ET)</t>
  </si>
  <si>
    <t>Menos renta exenta -25%  del subtotal (C)  (Numeral 10 art. 206 ET)</t>
  </si>
  <si>
    <t>Total pagos laborales en el mes</t>
  </si>
  <si>
    <t>Fondo de Solidaridad Pensional</t>
  </si>
  <si>
    <t>Valor retención en la fuente Art. 383 ET</t>
  </si>
  <si>
    <t>Valor retención en la fuente a practicar por prima de servicios (art. 383 ET)</t>
  </si>
  <si>
    <t>25% prima</t>
  </si>
  <si>
    <t>Total 25%</t>
  </si>
  <si>
    <t>Licencia de maternidad</t>
  </si>
  <si>
    <t>Intereses por prestamos de vivienda (promedio año anterior o los meses correspondientes)</t>
  </si>
  <si>
    <t>Pagos por salud prepagada, Plan complementario de salud, o seguros de salud (art 387 ET)- Promedio del año anterior</t>
  </si>
  <si>
    <t>Otros ingresos laborales- Bonos, cheques electrónicos, pagos indirectos</t>
  </si>
  <si>
    <t>Aportes obligatorios a Fondos de Pensiones (art. 55 ET)</t>
  </si>
  <si>
    <t>Sin límites</t>
  </si>
  <si>
    <t>Total renta exentas</t>
  </si>
  <si>
    <t>Base</t>
  </si>
  <si>
    <t>Cesantías (no se tienen en cuenta para efectos de la retención en la fuente)</t>
  </si>
  <si>
    <t>Intereses sobre cesantías  (no se tienen en cuenta para efectos de la retención en la fuente)</t>
  </si>
  <si>
    <t>Menos ingresos no constitutivos de renta ni ganancia ocasional</t>
  </si>
  <si>
    <t>Total ingresos no constitutivos de renta ni ganancia ocasional</t>
  </si>
  <si>
    <t>Valor de la prima de servicios</t>
  </si>
  <si>
    <t>Indemnizaciones por accidentes de trabajo o enfermedad (art 206 ET Num 1)</t>
  </si>
  <si>
    <t>Gastos de entierro del trabajador (art 206 ET Num 3)</t>
  </si>
  <si>
    <t xml:space="preserve">Art. 383 del ET </t>
  </si>
  <si>
    <t>25 % del ingreso laboral y hasta 2.500 UVT</t>
  </si>
  <si>
    <r>
      <t xml:space="preserve">Aportes voluntarios a fondos de pensiones obligatorios (Régimen ahorro individual) </t>
    </r>
    <r>
      <rPr>
        <sz val="8"/>
        <rFont val="Arial"/>
        <family val="2"/>
      </rPr>
      <t>(Art. 55 ET)</t>
    </r>
  </si>
  <si>
    <t>Renta exenta 25% sueldo</t>
  </si>
  <si>
    <t>(30%) del ingreso laboral o ingreso tributario del año, y hasta (3.800) UVT por año.</t>
  </si>
  <si>
    <t>Indemnizaciones proteccion a la maternidad (art 206 ET Num 2)</t>
  </si>
  <si>
    <t>Otras rentas exentas (Art. 206 ET)</t>
  </si>
  <si>
    <t>Aportes obligatorios al sistema de salud (art. 56 ET)</t>
  </si>
  <si>
    <t>Hasta 10% del total de ingresos brutos laborales  y hasta 32 UVT</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</si>
  <si>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</si>
  <si>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</si>
  <si>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</si>
  <si>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</si>
  <si>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</si>
  <si>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</si>
  <si>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Retención aplicable para el año 2022</t>
  </si>
  <si>
    <t>Enero de 2022</t>
  </si>
  <si>
    <t>Febrero de 2022</t>
  </si>
  <si>
    <t>Marzo de 2022</t>
  </si>
  <si>
    <t>Abril de 2022</t>
  </si>
  <si>
    <t>Mayo de 2022</t>
  </si>
  <si>
    <t>Junio de 2022</t>
  </si>
  <si>
    <t>Julio de 2022</t>
  </si>
  <si>
    <t>Agosto de 2022</t>
  </si>
  <si>
    <t>Septiembre de 2022</t>
  </si>
  <si>
    <t>Octubre de 2022</t>
  </si>
  <si>
    <t>Noviembre de 2022</t>
  </si>
  <si>
    <t>Diciembre de 2022</t>
  </si>
  <si>
    <t>Año 2022</t>
  </si>
  <si>
    <t>VALOR UVT</t>
  </si>
  <si>
    <t>DHVG CONSULTING SAS</t>
  </si>
  <si>
    <t>Nombre del empleado</t>
  </si>
  <si>
    <t>cc</t>
  </si>
  <si>
    <t>Seleccione "SI" si tiene derecho a dependientes (Art 387 ET)</t>
  </si>
  <si>
    <t>SI</t>
  </si>
  <si>
    <t>NO</t>
  </si>
  <si>
    <t>Aportes con destino a cuentas AFC, AVC (art 126-4 ET)</t>
  </si>
  <si>
    <t>LIMITE GENERAL DE RENTAS EXENTAS Y DEDUCCIONES   40% DEL INGRESO NETO Y HASTA 5.040 UVT</t>
  </si>
  <si>
    <t>Total retenciones a practicar  en el mes (Art. 383 ET)</t>
  </si>
  <si>
    <t>Total Ingresos mes (No se incluye la prima)</t>
  </si>
  <si>
    <t>Art. 383 del ET</t>
  </si>
  <si>
    <t>Prima el cálculo se realiza de forma independiente.</t>
  </si>
  <si>
    <t>Subtotal  (B)</t>
  </si>
  <si>
    <t>Diseño</t>
  </si>
  <si>
    <t>William Dussan Salazar</t>
  </si>
  <si>
    <t>consultorcontable1@gmail.com</t>
  </si>
  <si>
    <t>Leonardo Varón García</t>
  </si>
  <si>
    <t xml:space="preserve">       leovarong@yahoo.com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</si>
</sst>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_ ;_ * \-#,##0_ ;_ * &quot;-&quot;_ ;_ @_ "/>
    <numFmt numFmtId="165" formatCode="_ &quot;$&quot;\ * #,##0.00_ ;_ &quot;$&quot;\ * \-#,##0.00_ ;_ &quot;$&quot;\ * &quot;-&quot;??_ ;_ @_ "/>
    <numFmt numFmtId="166" formatCode="_ * #,##0.00_ ;_ * \-#,##0.00_ ;_ * &quot;-&quot;??_ ;_ @_ "/>
    <numFmt numFmtId="167" formatCode="_ * #,##0.0_ ;_ * \-#,##0.0_ ;_ * &quot;-&quot;??_ ;_ @_ "/>
    <numFmt numFmtId="168" formatCode="_ * #,##0_ ;_ * \-#,##0_ ;_ * &quot;-&quot;??_ ;_ @_ "/>
    <numFmt numFmtId="169" formatCode="0.0"/>
    <numFmt numFmtId="170" formatCode="_ &quot;$&quot;\ * #,##0_ ;_ &quot;$&quot;\ * \-#,##0_ ;_ &quot;$&quot;\ * &quot;-&quot;??_ ;_ @_ "/>
    <numFmt numFmtId="171" formatCode="0.0%"/>
    <numFmt numFmtId="172" formatCode="[$-C0A]d\-mmm\-yy;@"/>
    <numFmt numFmtId="173" formatCode="_ * #,##0.0_ ;_ * \-#,##0.0_ ;_ * &quot;-&quot;_ ;_ @_ "/>
    <numFmt numFmtId="174" formatCode="_-* #,##0.0_-;\-* #,##0.0_-;_-* &quot;-&quot;?_-;_-@_-"/>
  </numFmts>
  <fonts count="66">
    <font>
      <sz val="10"/>
      <name val="Arial"/>
    </font>
    <font>
      <sz val="10"/>
      <name val="Arial"/>
      <family val="2"/>
    </font>
    <font>
      <sz val="8"/>
      <name val="Arial"/>
      <family val="2"/>
    </font>
    <font>
      <b/>
      <sz val="10"/>
      <name val="Arial"/>
      <family val="2"/>
    </font>
    <font>
      <sz val="11"/>
      <name val="Arial"/>
      <family val="2"/>
    </font>
    <font>
      <sz val="10"/>
      <name val="Arial"/>
      <family val="2"/>
    </font>
    <font>
      <sz val="11"/>
      <color indexed="13"/>
      <name val="Verdana"/>
      <family val="2"/>
    </font>
    <font>
      <b/>
      <sz val="10"/>
      <color indexed="9"/>
      <name val="Arial"/>
      <family val="2"/>
    </font>
    <font>
      <sz val="10"/>
      <color indexed="9"/>
      <name val="Arial"/>
      <family val="2"/>
    </font>
    <font>
      <u/>
      <sz val="10"/>
      <color indexed="12"/>
      <name val="Arial"/>
      <family val="2"/>
    </font>
    <font>
      <sz val="10"/>
      <color indexed="13"/>
      <name val="Arial"/>
      <family val="2"/>
    </font>
    <font>
      <b/>
      <sz val="10"/>
      <name val="Tahoma"/>
      <family val="2"/>
    </font>
    <font>
      <b/>
      <sz val="12"/>
      <name val="Arial"/>
      <family val="2"/>
    </font>
    <font>
      <i/>
      <sz val="11"/>
      <name val="Arial"/>
      <family val="2"/>
    </font>
    <font>
      <b/>
      <sz val="11"/>
      <color indexed="9"/>
      <name val="Arial"/>
      <family val="2"/>
    </font>
    <font>
      <b/>
      <sz val="12"/>
      <name val="Tahoma"/>
      <family val="2"/>
    </font>
    <font>
      <sz val="10"/>
      <color indexed="56"/>
      <name val="Arial"/>
      <family val="2"/>
    </font>
    <font>
      <sz val="9"/>
      <color indexed="81"/>
      <name val="Tahoma"/>
      <family val="2"/>
    </font>
    <font>
      <b/>
      <sz val="9"/>
      <color indexed="81"/>
      <name val="Tahoma"/>
      <family val="2"/>
    </font>
    <font>
      <sz val="10"/>
      <color indexed="8"/>
      <name val="Arial"/>
      <family val="2"/>
    </font>
    <font>
      <b/>
      <sz val="14"/>
      <color indexed="11"/>
      <name val="Arial"/>
      <family val="2"/>
    </font>
    <font>
      <b/>
      <sz val="16"/>
      <color indexed="11"/>
      <name val="Arial"/>
      <family val="2"/>
    </font>
    <font>
      <sz val="11"/>
      <color indexed="13"/>
      <name val="Arial"/>
      <family val="2"/>
    </font>
    <font>
      <sz val="10"/>
      <color indexed="12"/>
      <name val="Arial"/>
      <family val="2"/>
    </font>
    <font>
      <b/>
      <sz val="10"/>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color indexed="81"/>
      <name val="Tahoma"/>
      <family val="2"/>
    </font>
    <font>
      <sz val="8"/>
      <color indexed="81"/>
      <name val="Tahoma"/>
      <family val="2"/>
    </font>
    <font>
      <sz val="10"/>
      <name val="Arial"/>
      <family val="2"/>
    </font>
    <font>
      <u/>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0"/>
      <color theme="1"/>
      <name val="Arial"/>
      <family val="2"/>
    </font>
    <font>
      <b/>
      <sz val="14"/>
      <color theme="1"/>
      <name val="Arial"/>
      <family val="2"/>
    </font>
    <font>
      <b/>
      <sz val="12"/>
      <color theme="1"/>
      <name val="Arial"/>
      <family val="2"/>
    </font>
    <font>
      <b/>
      <sz val="16"/>
      <color theme="1"/>
      <name val="Arial"/>
      <family val="2"/>
    </font>
    <font>
      <b/>
      <sz val="11"/>
      <color rgb="FFFFC000"/>
      <name val="Arial"/>
      <family val="2"/>
    </font>
    <font>
      <sz val="11"/>
      <color theme="0"/>
      <name val="Arial"/>
      <family val="2"/>
    </font>
    <font>
      <b/>
      <sz val="11"/>
      <color rgb="FFFF0000"/>
      <name val="Arial"/>
      <family val="2"/>
    </font>
    <font>
      <sz val="11"/>
      <color rgb="FFFF0000"/>
      <name val="Arial"/>
      <family val="2"/>
    </font>
    <font>
      <sz val="11"/>
      <color theme="0" tint="-4.9989318521683403E-2"/>
      <name val="Arial"/>
      <family val="2"/>
    </font>
    <font>
      <b/>
      <sz val="11"/>
      <color theme="0" tint="-4.9989318521683403E-2"/>
      <name val="Arial"/>
      <family val="2"/>
    </font>
    <font>
      <b/>
      <sz val="11"/>
      <color theme="0" tint="-0.249977111117893"/>
      <name val="Arial"/>
      <family val="2"/>
    </font>
    <font>
      <sz val="11"/>
      <color theme="0" tint="-0.249977111117893"/>
      <name val="Arial"/>
      <family val="2"/>
    </font>
  </fonts>
  <fills count="2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theme="1"/>
        <bgColor indexed="64"/>
      </patternFill>
    </fill>
    <fill>
      <patternFill patternType="solid">
        <fgColor theme="0"/>
        <bgColor indexed="24"/>
      </patternFill>
    </fill>
    <fill>
      <patternFill patternType="solid">
        <fgColor theme="0" tint="-0.249977111117893"/>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1" tint="0.249977111117893"/>
        <bgColor indexed="64"/>
      </patternFill>
    </fill>
  </fills>
  <borders count="35">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cellStyleXfs>
  <cellXfs count="295">
    <xf numFmtId="0" fontId="0" fillId="0" borderId="0" xfId="0"/>
    <xf numFmtId="0" fontId="3" fillId="0" borderId="0" xfId="0" applyFont="1" applyAlignment="1">
      <alignment horizontal="center"/>
    </xf>
    <xf numFmtId="0" fontId="0" fillId="0" borderId="1" xfId="0" applyBorder="1"/>
    <xf numFmtId="0" fontId="0" fillId="0" borderId="2" xfId="0" applyBorder="1"/>
    <xf numFmtId="169" fontId="0" fillId="0" borderId="0" xfId="0" applyNumberFormat="1"/>
    <xf numFmtId="166" fontId="0" fillId="0" borderId="1" xfId="2" applyNumberFormat="1" applyFont="1" applyBorder="1"/>
    <xf numFmtId="166" fontId="0" fillId="0" borderId="2" xfId="2" applyNumberFormat="1" applyFont="1" applyBorder="1"/>
    <xf numFmtId="166" fontId="0" fillId="0" borderId="3" xfId="2" applyNumberFormat="1" applyFont="1" applyBorder="1"/>
    <xf numFmtId="167" fontId="0" fillId="0" borderId="0" xfId="2" applyNumberFormat="1" applyFont="1"/>
    <xf numFmtId="166" fontId="0" fillId="0" borderId="0" xfId="2" applyFont="1"/>
    <xf numFmtId="170" fontId="0" fillId="0" borderId="0" xfId="4" applyNumberFormat="1" applyFont="1"/>
    <xf numFmtId="166" fontId="0" fillId="0" borderId="0" xfId="0" applyNumberFormat="1"/>
    <xf numFmtId="171" fontId="0" fillId="0" borderId="0" xfId="5" applyNumberFormat="1" applyFont="1"/>
    <xf numFmtId="0" fontId="0" fillId="0" borderId="0" xfId="0" applyFill="1" applyAlignment="1">
      <alignment horizontal="right"/>
    </xf>
    <xf numFmtId="0" fontId="11" fillId="0" borderId="0" xfId="0" applyFont="1" applyAlignment="1">
      <alignment horizontal="left"/>
    </xf>
    <xf numFmtId="0" fontId="4" fillId="3" borderId="5" xfId="0" applyFont="1" applyFill="1" applyBorder="1" applyAlignment="1">
      <alignment horizontal="center" vertical="top" wrapText="1"/>
    </xf>
    <xf numFmtId="9" fontId="4" fillId="3" borderId="5"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9" fontId="4" fillId="3" borderId="6"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9" fontId="4" fillId="3" borderId="4" xfId="0" applyNumberFormat="1" applyFont="1" applyFill="1" applyBorder="1" applyAlignment="1">
      <alignment horizontal="center" vertical="top" wrapText="1"/>
    </xf>
    <xf numFmtId="0" fontId="12" fillId="0" borderId="0" xfId="0" applyFont="1" applyFill="1" applyBorder="1" applyAlignment="1">
      <alignment horizontal="center"/>
    </xf>
    <xf numFmtId="0" fontId="0" fillId="0" borderId="7" xfId="0" applyBorder="1"/>
    <xf numFmtId="0" fontId="0" fillId="0" borderId="8" xfId="0" applyBorder="1"/>
    <xf numFmtId="170" fontId="16" fillId="0" borderId="0" xfId="4" applyNumberFormat="1" applyFont="1"/>
    <xf numFmtId="0" fontId="5" fillId="0" borderId="0" xfId="0" applyFont="1"/>
    <xf numFmtId="0" fontId="3" fillId="0" borderId="0" xfId="0" applyFont="1"/>
    <xf numFmtId="166" fontId="3" fillId="0" borderId="0" xfId="2" applyFont="1"/>
    <xf numFmtId="10" fontId="19" fillId="8" borderId="0" xfId="5" applyNumberFormat="1" applyFont="1" applyFill="1" applyBorder="1" applyAlignment="1" applyProtection="1">
      <protection locked="0"/>
    </xf>
    <xf numFmtId="172" fontId="19" fillId="8" borderId="0" xfId="0" applyNumberFormat="1" applyFont="1" applyFill="1" applyBorder="1" applyAlignment="1" applyProtection="1">
      <protection locked="0"/>
    </xf>
    <xf numFmtId="10" fontId="41" fillId="8" borderId="0" xfId="1" applyNumberFormat="1" applyFont="1" applyFill="1" applyBorder="1" applyAlignment="1" applyProtection="1">
      <protection locked="0"/>
    </xf>
    <xf numFmtId="168" fontId="5" fillId="0" borderId="0" xfId="2" applyNumberFormat="1" applyFont="1"/>
    <xf numFmtId="168" fontId="42" fillId="0" borderId="0" xfId="2" applyNumberFormat="1" applyFont="1"/>
    <xf numFmtId="168" fontId="20" fillId="2" borderId="0" xfId="2" applyNumberFormat="1" applyFont="1" applyFill="1" applyAlignment="1">
      <alignment horizontal="left"/>
    </xf>
    <xf numFmtId="168" fontId="43" fillId="0" borderId="0" xfId="2" applyNumberFormat="1" applyFont="1"/>
    <xf numFmtId="168" fontId="44" fillId="6" borderId="0" xfId="2" applyNumberFormat="1" applyFont="1" applyFill="1" applyBorder="1" applyAlignment="1">
      <alignment horizontal="center" vertical="center"/>
    </xf>
    <xf numFmtId="168" fontId="43" fillId="6" borderId="0" xfId="2" applyNumberFormat="1" applyFont="1" applyFill="1" applyBorder="1" applyProtection="1">
      <protection locked="0"/>
    </xf>
    <xf numFmtId="168" fontId="5" fillId="0" borderId="3" xfId="2" applyNumberFormat="1" applyFont="1" applyBorder="1" applyAlignment="1" applyProtection="1">
      <alignment horizontal="center"/>
      <protection locked="0"/>
    </xf>
    <xf numFmtId="14" fontId="5" fillId="0" borderId="0" xfId="0" applyNumberFormat="1" applyFont="1"/>
    <xf numFmtId="168" fontId="5" fillId="0" borderId="6" xfId="2" applyNumberFormat="1" applyFont="1" applyBorder="1" applyProtection="1">
      <protection locked="0"/>
    </xf>
    <xf numFmtId="168" fontId="3" fillId="0" borderId="0" xfId="2" applyNumberFormat="1" applyFont="1" applyAlignment="1">
      <alignment horizontal="center"/>
    </xf>
    <xf numFmtId="168" fontId="46" fillId="0" borderId="0" xfId="2" applyNumberFormat="1" applyFont="1" applyAlignment="1">
      <alignment horizontal="center"/>
    </xf>
    <xf numFmtId="0" fontId="25" fillId="2" borderId="3" xfId="0" applyFont="1" applyFill="1" applyBorder="1" applyAlignment="1">
      <alignment horizontal="center" vertical="center"/>
    </xf>
    <xf numFmtId="0" fontId="12" fillId="0" borderId="0" xfId="0" applyFont="1" applyFill="1" applyAlignment="1">
      <alignment horizontal="center"/>
    </xf>
    <xf numFmtId="0" fontId="5" fillId="4" borderId="6" xfId="0" applyFont="1" applyFill="1" applyBorder="1"/>
    <xf numFmtId="168" fontId="5" fillId="4" borderId="6" xfId="2" applyNumberFormat="1" applyFont="1" applyFill="1" applyBorder="1"/>
    <xf numFmtId="0" fontId="5" fillId="0" borderId="0" xfId="0" applyFont="1" applyAlignment="1">
      <alignment horizontal="center" vertical="center"/>
    </xf>
    <xf numFmtId="0" fontId="3" fillId="4" borderId="6" xfId="0" applyFont="1" applyFill="1" applyBorder="1" applyAlignment="1">
      <alignment horizontal="left"/>
    </xf>
    <xf numFmtId="168" fontId="3" fillId="4" borderId="6" xfId="2" applyNumberFormat="1" applyFont="1" applyFill="1" applyBorder="1"/>
    <xf numFmtId="168" fontId="27" fillId="4" borderId="6" xfId="2" applyNumberFormat="1" applyFont="1" applyFill="1" applyBorder="1" applyAlignment="1">
      <alignment horizontal="center"/>
    </xf>
    <xf numFmtId="168" fontId="48" fillId="4" borderId="6" xfId="2" applyNumberFormat="1" applyFont="1" applyFill="1" applyBorder="1" applyAlignment="1">
      <alignment horizontal="center"/>
    </xf>
    <xf numFmtId="168" fontId="26" fillId="0" borderId="0" xfId="2" applyNumberFormat="1" applyFont="1" applyAlignment="1">
      <alignment horizontal="center"/>
    </xf>
    <xf numFmtId="168" fontId="47" fillId="0" borderId="0" xfId="2" applyNumberFormat="1" applyFont="1" applyAlignment="1">
      <alignment horizontal="center"/>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46" fillId="2" borderId="15" xfId="0" applyFont="1" applyFill="1" applyBorder="1" applyAlignment="1">
      <alignment horizontal="left"/>
    </xf>
    <xf numFmtId="168" fontId="7" fillId="2" borderId="6" xfId="2" applyNumberFormat="1" applyFont="1" applyFill="1" applyBorder="1"/>
    <xf numFmtId="0" fontId="5" fillId="0" borderId="0" xfId="0" applyFont="1" applyFill="1"/>
    <xf numFmtId="168" fontId="5" fillId="0" borderId="0" xfId="2" applyNumberFormat="1" applyFont="1" applyFill="1"/>
    <xf numFmtId="0" fontId="28" fillId="0" borderId="0" xfId="0" applyFont="1"/>
    <xf numFmtId="0" fontId="25" fillId="0" borderId="0" xfId="0" applyFont="1" applyFill="1" applyBorder="1" applyAlignment="1">
      <alignment horizontal="center" vertical="center"/>
    </xf>
    <xf numFmtId="166" fontId="5" fillId="0" borderId="0" xfId="2" applyNumberFormat="1" applyFont="1"/>
    <xf numFmtId="168" fontId="5" fillId="4" borderId="6" xfId="2" applyNumberFormat="1" applyFont="1" applyFill="1" applyBorder="1" applyAlignment="1">
      <alignment horizontal="center" vertical="center"/>
    </xf>
    <xf numFmtId="166" fontId="5" fillId="0" borderId="0" xfId="2" applyFont="1"/>
    <xf numFmtId="0" fontId="3" fillId="4" borderId="6" xfId="0" applyFont="1" applyFill="1" applyBorder="1"/>
    <xf numFmtId="168" fontId="8" fillId="0" borderId="0" xfId="2" applyNumberFormat="1" applyFont="1"/>
    <xf numFmtId="0" fontId="46" fillId="2" borderId="14" xfId="0" applyFont="1" applyFill="1" applyBorder="1" applyAlignment="1">
      <alignment horizontal="left"/>
    </xf>
    <xf numFmtId="168" fontId="7" fillId="2" borderId="15" xfId="2" applyNumberFormat="1" applyFont="1" applyFill="1" applyBorder="1"/>
    <xf numFmtId="0" fontId="7" fillId="2" borderId="0" xfId="0" applyFont="1" applyFill="1" applyBorder="1" applyAlignment="1">
      <alignment horizontal="left"/>
    </xf>
    <xf numFmtId="0" fontId="46" fillId="2" borderId="0" xfId="0" applyFont="1" applyFill="1" applyBorder="1" applyAlignment="1">
      <alignment horizontal="left"/>
    </xf>
    <xf numFmtId="0" fontId="50" fillId="2" borderId="13" xfId="0" applyFont="1" applyFill="1" applyBorder="1" applyAlignment="1">
      <alignment horizontal="left"/>
    </xf>
    <xf numFmtId="0" fontId="24" fillId="2" borderId="15" xfId="0" applyFont="1" applyFill="1" applyBorder="1" applyAlignment="1">
      <alignment horizontal="left"/>
    </xf>
    <xf numFmtId="168" fontId="10" fillId="2" borderId="6" xfId="2" applyNumberFormat="1" applyFont="1" applyFill="1" applyBorder="1" applyAlignment="1">
      <alignment horizontal="center"/>
    </xf>
    <xf numFmtId="168" fontId="51" fillId="2" borderId="6" xfId="2" applyNumberFormat="1" applyFont="1" applyFill="1" applyBorder="1" applyAlignment="1">
      <alignment horizontal="center"/>
    </xf>
    <xf numFmtId="168" fontId="24" fillId="2" borderId="6" xfId="2" applyNumberFormat="1" applyFont="1" applyFill="1" applyBorder="1"/>
    <xf numFmtId="168" fontId="7" fillId="2" borderId="6" xfId="2" applyNumberFormat="1" applyFont="1" applyFill="1" applyBorder="1" applyProtection="1">
      <protection hidden="1"/>
    </xf>
    <xf numFmtId="167" fontId="5" fillId="0" borderId="0" xfId="2" applyNumberFormat="1" applyFont="1"/>
    <xf numFmtId="167" fontId="5" fillId="0" borderId="0" xfId="2" applyNumberFormat="1" applyFont="1" applyFill="1"/>
    <xf numFmtId="0" fontId="29" fillId="2" borderId="18" xfId="0" applyFont="1" applyFill="1" applyBorder="1" applyAlignment="1">
      <alignment horizontal="left"/>
    </xf>
    <xf numFmtId="168" fontId="30" fillId="0" borderId="0" xfId="2" applyNumberFormat="1" applyFont="1" applyFill="1" applyBorder="1"/>
    <xf numFmtId="168" fontId="45" fillId="0" borderId="0" xfId="2" applyNumberFormat="1" applyFont="1" applyFill="1" applyBorder="1"/>
    <xf numFmtId="170" fontId="31" fillId="2" borderId="6" xfId="4" applyNumberFormat="1" applyFont="1" applyFill="1" applyBorder="1"/>
    <xf numFmtId="0" fontId="29" fillId="2" borderId="15" xfId="0" applyFont="1" applyFill="1" applyBorder="1" applyAlignment="1">
      <alignment horizontal="left"/>
    </xf>
    <xf numFmtId="14" fontId="42" fillId="0" borderId="0" xfId="0" applyNumberFormat="1" applyFont="1" applyProtection="1">
      <protection hidden="1"/>
    </xf>
    <xf numFmtId="0" fontId="32" fillId="0" borderId="0" xfId="0" applyFont="1" applyProtection="1">
      <protection hidden="1"/>
    </xf>
    <xf numFmtId="0" fontId="42" fillId="0" borderId="0" xfId="0" applyFont="1"/>
    <xf numFmtId="0" fontId="8" fillId="0" borderId="0" xfId="0" applyFont="1"/>
    <xf numFmtId="0" fontId="43" fillId="0" borderId="0" xfId="0" applyFont="1"/>
    <xf numFmtId="0" fontId="46" fillId="0" borderId="0" xfId="0" applyFont="1"/>
    <xf numFmtId="0" fontId="5" fillId="9" borderId="6" xfId="0" applyFont="1" applyFill="1" applyBorder="1"/>
    <xf numFmtId="0" fontId="50" fillId="2" borderId="19" xfId="0" applyFont="1" applyFill="1" applyBorder="1" applyAlignment="1">
      <alignment horizontal="left"/>
    </xf>
    <xf numFmtId="0" fontId="46" fillId="0" borderId="0" xfId="0" applyFont="1" applyAlignment="1">
      <alignment horizontal="left"/>
    </xf>
    <xf numFmtId="0" fontId="5" fillId="0" borderId="0" xfId="0" applyFont="1" applyFill="1" applyProtection="1"/>
    <xf numFmtId="168" fontId="5" fillId="0" borderId="0" xfId="2" applyNumberFormat="1" applyFont="1" applyFill="1" applyProtection="1"/>
    <xf numFmtId="168" fontId="12" fillId="0" borderId="0" xfId="2" applyNumberFormat="1" applyFont="1" applyFill="1" applyAlignment="1" applyProtection="1">
      <alignment horizontal="left"/>
    </xf>
    <xf numFmtId="168" fontId="33" fillId="0" borderId="0" xfId="2" applyNumberFormat="1" applyFont="1" applyFill="1" applyAlignment="1" applyProtection="1">
      <alignment horizontal="left"/>
    </xf>
    <xf numFmtId="168" fontId="34" fillId="0" borderId="0" xfId="2" applyNumberFormat="1" applyFont="1" applyFill="1" applyAlignment="1" applyProtection="1">
      <alignment horizontal="right"/>
    </xf>
    <xf numFmtId="0" fontId="5" fillId="0" borderId="0" xfId="0" applyFont="1" applyFill="1" applyAlignment="1" applyProtection="1">
      <alignment horizontal="left"/>
    </xf>
    <xf numFmtId="0" fontId="33" fillId="0" borderId="0" xfId="0" applyFont="1" applyFill="1" applyProtection="1"/>
    <xf numFmtId="0" fontId="12" fillId="0" borderId="0" xfId="0" applyFont="1" applyFill="1" applyProtection="1"/>
    <xf numFmtId="168" fontId="35" fillId="0" borderId="0" xfId="2" applyNumberFormat="1" applyFont="1" applyFill="1" applyBorder="1" applyAlignment="1" applyProtection="1">
      <alignment horizontal="center" vertical="center"/>
    </xf>
    <xf numFmtId="168" fontId="5" fillId="0" borderId="0" xfId="2" applyNumberFormat="1" applyFont="1" applyFill="1" applyBorder="1" applyProtection="1"/>
    <xf numFmtId="168" fontId="3" fillId="0" borderId="6" xfId="2" applyNumberFormat="1" applyFont="1" applyFill="1" applyBorder="1" applyAlignment="1" applyProtection="1">
      <alignment horizontal="center"/>
    </xf>
    <xf numFmtId="168" fontId="5" fillId="0" borderId="6" xfId="2" applyNumberFormat="1" applyFont="1" applyFill="1" applyBorder="1" applyAlignment="1" applyProtection="1">
      <alignment horizontal="center"/>
    </xf>
    <xf numFmtId="0" fontId="5" fillId="0" borderId="0" xfId="0" applyFont="1" applyFill="1" applyAlignment="1" applyProtection="1">
      <alignment horizontal="center"/>
    </xf>
    <xf numFmtId="0" fontId="30" fillId="0" borderId="0" xfId="0" applyFont="1" applyFill="1" applyProtection="1"/>
    <xf numFmtId="0" fontId="12" fillId="0" borderId="3" xfId="0" applyFont="1" applyFill="1" applyBorder="1" applyAlignment="1" applyProtection="1">
      <alignment horizontal="center" vertical="center"/>
    </xf>
    <xf numFmtId="0" fontId="12" fillId="0" borderId="0" xfId="0" applyFont="1" applyFill="1" applyAlignment="1" applyProtection="1">
      <alignment horizontal="center"/>
    </xf>
    <xf numFmtId="0" fontId="3" fillId="0" borderId="0" xfId="0" applyFont="1" applyFill="1" applyAlignment="1" applyProtection="1">
      <alignment horizontal="left"/>
    </xf>
    <xf numFmtId="0" fontId="5" fillId="0" borderId="6" xfId="0" applyFont="1" applyFill="1" applyBorder="1" applyProtection="1"/>
    <xf numFmtId="168" fontId="5" fillId="0" borderId="6" xfId="2" applyNumberFormat="1" applyFont="1" applyFill="1" applyBorder="1" applyProtection="1"/>
    <xf numFmtId="0" fontId="5" fillId="0" borderId="0" xfId="0" applyFont="1" applyFill="1" applyAlignment="1" applyProtection="1">
      <alignment horizontal="center" vertical="center"/>
    </xf>
    <xf numFmtId="0" fontId="3" fillId="0" borderId="6" xfId="0" applyFont="1" applyFill="1" applyBorder="1" applyProtection="1"/>
    <xf numFmtId="168" fontId="3" fillId="0" borderId="6" xfId="2" applyNumberFormat="1" applyFont="1" applyFill="1" applyBorder="1" applyProtection="1"/>
    <xf numFmtId="0" fontId="3" fillId="0" borderId="13" xfId="0" applyFont="1" applyFill="1" applyBorder="1" applyAlignment="1" applyProtection="1">
      <alignment horizontal="left"/>
    </xf>
    <xf numFmtId="0" fontId="3" fillId="0" borderId="14" xfId="0" applyFont="1" applyFill="1" applyBorder="1" applyAlignment="1" applyProtection="1">
      <alignment horizontal="left"/>
    </xf>
    <xf numFmtId="0" fontId="3" fillId="0" borderId="0" xfId="0" applyFont="1" applyFill="1" applyBorder="1" applyAlignment="1" applyProtection="1">
      <alignment horizontal="left"/>
    </xf>
    <xf numFmtId="168" fontId="3" fillId="0" borderId="0" xfId="2" applyNumberFormat="1" applyFont="1" applyFill="1" applyBorder="1" applyProtection="1"/>
    <xf numFmtId="0" fontId="3" fillId="0" borderId="0" xfId="0" applyFont="1" applyFill="1" applyProtection="1"/>
    <xf numFmtId="0" fontId="12" fillId="0" borderId="0" xfId="0" applyFont="1" applyFill="1" applyBorder="1" applyAlignment="1" applyProtection="1">
      <alignment horizontal="center" vertical="center"/>
    </xf>
    <xf numFmtId="168" fontId="3" fillId="0" borderId="6" xfId="2" applyNumberFormat="1" applyFont="1" applyFill="1" applyBorder="1" applyAlignment="1" applyProtection="1">
      <alignment horizontal="center" vertical="center"/>
    </xf>
    <xf numFmtId="0" fontId="3" fillId="0" borderId="15" xfId="0" applyFont="1" applyFill="1" applyBorder="1" applyAlignment="1" applyProtection="1">
      <alignment horizontal="left"/>
    </xf>
    <xf numFmtId="0" fontId="36" fillId="0" borderId="6" xfId="0" applyFont="1" applyFill="1" applyBorder="1" applyAlignment="1" applyProtection="1">
      <alignment horizontal="left"/>
    </xf>
    <xf numFmtId="170" fontId="3" fillId="0" borderId="6" xfId="4" applyNumberFormat="1" applyFont="1" applyFill="1" applyBorder="1" applyProtection="1"/>
    <xf numFmtId="0" fontId="3" fillId="0" borderId="6" xfId="0" applyFont="1" applyFill="1" applyBorder="1" applyAlignment="1" applyProtection="1">
      <alignment horizontal="left"/>
    </xf>
    <xf numFmtId="10" fontId="31" fillId="2" borderId="6" xfId="5" applyNumberFormat="1" applyFont="1" applyFill="1" applyBorder="1"/>
    <xf numFmtId="10" fontId="3" fillId="0" borderId="0" xfId="5" applyNumberFormat="1" applyFont="1" applyFill="1" applyProtection="1"/>
    <xf numFmtId="166" fontId="3" fillId="0" borderId="0" xfId="0" applyNumberFormat="1" applyFont="1"/>
    <xf numFmtId="0" fontId="36" fillId="0" borderId="0" xfId="0" applyFont="1" applyFill="1" applyBorder="1" applyAlignment="1" applyProtection="1">
      <alignment horizontal="left"/>
    </xf>
    <xf numFmtId="170" fontId="3" fillId="0" borderId="0" xfId="4" applyNumberFormat="1" applyFont="1" applyFill="1" applyBorder="1" applyProtection="1"/>
    <xf numFmtId="0" fontId="36" fillId="0" borderId="13" xfId="0" applyFont="1" applyFill="1" applyBorder="1" applyAlignment="1" applyProtection="1">
      <alignment horizontal="center"/>
    </xf>
    <xf numFmtId="168" fontId="36" fillId="0" borderId="15" xfId="2" applyNumberFormat="1" applyFont="1" applyFill="1" applyBorder="1" applyAlignment="1" applyProtection="1">
      <alignment horizontal="center"/>
    </xf>
    <xf numFmtId="168" fontId="36" fillId="0" borderId="6" xfId="2" applyNumberFormat="1" applyFont="1" applyFill="1" applyBorder="1" applyAlignment="1" applyProtection="1">
      <alignment horizontal="center"/>
    </xf>
    <xf numFmtId="0" fontId="5" fillId="4" borderId="6" xfId="0" applyFont="1" applyFill="1" applyBorder="1" applyAlignment="1">
      <alignment wrapText="1"/>
    </xf>
    <xf numFmtId="166" fontId="36" fillId="0" borderId="0" xfId="2" applyFont="1" applyFill="1" applyProtection="1">
      <protection hidden="1"/>
    </xf>
    <xf numFmtId="0" fontId="9" fillId="0" borderId="0" xfId="1" applyAlignment="1" applyProtection="1"/>
    <xf numFmtId="0" fontId="3" fillId="0" borderId="0" xfId="0" applyFont="1" applyFill="1" applyBorder="1" applyProtection="1"/>
    <xf numFmtId="167" fontId="0" fillId="0" borderId="0" xfId="0" applyNumberFormat="1"/>
    <xf numFmtId="164" fontId="0" fillId="0" borderId="0" xfId="3" applyFont="1"/>
    <xf numFmtId="9" fontId="0" fillId="0" borderId="0" xfId="0" applyNumberFormat="1"/>
    <xf numFmtId="173" fontId="0" fillId="0" borderId="0" xfId="3" applyNumberFormat="1" applyFont="1"/>
    <xf numFmtId="174" fontId="0" fillId="0" borderId="0" xfId="0" applyNumberFormat="1"/>
    <xf numFmtId="0" fontId="5" fillId="11" borderId="0" xfId="0" applyFont="1" applyFill="1"/>
    <xf numFmtId="168" fontId="5" fillId="11" borderId="0" xfId="2" applyNumberFormat="1" applyFont="1" applyFill="1"/>
    <xf numFmtId="168" fontId="42" fillId="11" borderId="0" xfId="2" applyNumberFormat="1" applyFont="1" applyFill="1"/>
    <xf numFmtId="168" fontId="20" fillId="11" borderId="0" xfId="2" applyNumberFormat="1" applyFont="1" applyFill="1" applyAlignment="1">
      <alignment horizontal="left"/>
    </xf>
    <xf numFmtId="168" fontId="4" fillId="11" borderId="0" xfId="2" applyNumberFormat="1" applyFont="1" applyFill="1" applyAlignment="1">
      <alignment horizontal="center"/>
    </xf>
    <xf numFmtId="166" fontId="40" fillId="12" borderId="21" xfId="2" applyNumberFormat="1" applyFont="1" applyFill="1" applyBorder="1"/>
    <xf numFmtId="166" fontId="13" fillId="3" borderId="6" xfId="2" applyFont="1" applyFill="1" applyBorder="1" applyAlignment="1">
      <alignment horizontal="center" vertical="top" wrapText="1"/>
    </xf>
    <xf numFmtId="0" fontId="0" fillId="0" borderId="6" xfId="0" applyBorder="1"/>
    <xf numFmtId="166" fontId="0" fillId="0" borderId="6" xfId="2" applyNumberFormat="1" applyFont="1" applyBorder="1"/>
    <xf numFmtId="0" fontId="5" fillId="0" borderId="23" xfId="0" applyFont="1" applyBorder="1" applyAlignment="1">
      <alignment horizontal="center" vertical="center"/>
    </xf>
    <xf numFmtId="168" fontId="3" fillId="0" borderId="23" xfId="2" applyNumberFormat="1" applyFont="1" applyFill="1" applyBorder="1" applyProtection="1"/>
    <xf numFmtId="0" fontId="42" fillId="6" borderId="0" xfId="0" applyFont="1" applyFill="1" applyProtection="1">
      <protection hidden="1"/>
    </xf>
    <xf numFmtId="0" fontId="43" fillId="0" borderId="0" xfId="0" applyFont="1" applyFill="1"/>
    <xf numFmtId="0" fontId="42" fillId="0" borderId="0" xfId="0" applyFont="1" applyFill="1"/>
    <xf numFmtId="0" fontId="55" fillId="14" borderId="0" xfId="0" applyFont="1" applyFill="1"/>
    <xf numFmtId="0" fontId="56" fillId="14" borderId="0" xfId="0" applyFont="1" applyFill="1"/>
    <xf numFmtId="0" fontId="5" fillId="14" borderId="0" xfId="0" applyFont="1" applyFill="1"/>
    <xf numFmtId="168" fontId="5" fillId="14" borderId="0" xfId="2" applyNumberFormat="1" applyFont="1" applyFill="1"/>
    <xf numFmtId="168" fontId="42" fillId="14" borderId="0" xfId="2" applyNumberFormat="1" applyFont="1" applyFill="1"/>
    <xf numFmtId="168" fontId="20" fillId="14" borderId="0" xfId="2" applyNumberFormat="1" applyFont="1" applyFill="1" applyAlignment="1">
      <alignment horizontal="left"/>
    </xf>
    <xf numFmtId="168" fontId="21" fillId="14" borderId="0" xfId="2" applyNumberFormat="1" applyFont="1" applyFill="1" applyAlignment="1">
      <alignment horizontal="right"/>
    </xf>
    <xf numFmtId="168" fontId="53" fillId="14" borderId="0" xfId="2" applyNumberFormat="1" applyFont="1" applyFill="1" applyAlignment="1">
      <alignment horizontal="left"/>
    </xf>
    <xf numFmtId="0" fontId="5" fillId="14" borderId="0" xfId="0" applyFont="1" applyFill="1" applyAlignment="1">
      <alignment horizontal="left"/>
    </xf>
    <xf numFmtId="0" fontId="42" fillId="14" borderId="0" xfId="0" applyFont="1" applyFill="1" applyAlignment="1">
      <alignment horizontal="left"/>
    </xf>
    <xf numFmtId="168" fontId="22" fillId="14" borderId="0" xfId="2" applyNumberFormat="1" applyFont="1" applyFill="1" applyAlignment="1">
      <alignment horizontal="right"/>
    </xf>
    <xf numFmtId="168" fontId="57" fillId="14" borderId="0" xfId="2" applyNumberFormat="1" applyFont="1" applyFill="1" applyAlignment="1">
      <alignment horizontal="left"/>
    </xf>
    <xf numFmtId="0" fontId="54" fillId="14" borderId="0" xfId="0" applyFont="1" applyFill="1" applyAlignment="1">
      <alignment horizontal="left"/>
    </xf>
    <xf numFmtId="168" fontId="55" fillId="14" borderId="0" xfId="2" applyNumberFormat="1" applyFont="1" applyFill="1" applyAlignment="1">
      <alignment horizontal="left"/>
    </xf>
    <xf numFmtId="0" fontId="58" fillId="2" borderId="9" xfId="0" applyFont="1" applyFill="1" applyBorder="1" applyAlignment="1">
      <alignment horizontal="left"/>
    </xf>
    <xf numFmtId="0" fontId="58" fillId="2" borderId="10" xfId="0" applyFont="1" applyFill="1" applyBorder="1" applyAlignment="1">
      <alignment horizontal="center"/>
    </xf>
    <xf numFmtId="0" fontId="58" fillId="2" borderId="11" xfId="0" applyFont="1" applyFill="1" applyBorder="1" applyAlignment="1">
      <alignment horizontal="center"/>
    </xf>
    <xf numFmtId="168" fontId="58" fillId="2" borderId="11" xfId="2" applyNumberFormat="1" applyFont="1" applyFill="1" applyBorder="1" applyAlignment="1">
      <alignment horizontal="center"/>
    </xf>
    <xf numFmtId="168" fontId="58" fillId="2" borderId="12" xfId="2" applyNumberFormat="1" applyFont="1" applyFill="1" applyBorder="1" applyAlignment="1">
      <alignment horizontal="center"/>
    </xf>
    <xf numFmtId="0" fontId="5" fillId="14" borderId="0" xfId="0" applyFont="1" applyFill="1" applyBorder="1"/>
    <xf numFmtId="168" fontId="2" fillId="9" borderId="6" xfId="2" applyNumberFormat="1" applyFont="1" applyFill="1" applyBorder="1" applyAlignment="1">
      <alignment horizontal="center" vertical="center" wrapText="1"/>
    </xf>
    <xf numFmtId="168" fontId="2" fillId="9" borderId="6" xfId="2" applyNumberFormat="1" applyFont="1" applyFill="1" applyBorder="1"/>
    <xf numFmtId="168" fontId="26" fillId="9" borderId="6" xfId="2" applyNumberFormat="1" applyFont="1" applyFill="1" applyBorder="1" applyAlignment="1">
      <alignment horizontal="center"/>
    </xf>
    <xf numFmtId="14" fontId="43" fillId="6" borderId="0" xfId="0" applyNumberFormat="1" applyFont="1" applyFill="1" applyProtection="1">
      <protection hidden="1"/>
    </xf>
    <xf numFmtId="0" fontId="43" fillId="6" borderId="0" xfId="0" applyFont="1" applyFill="1" applyProtection="1">
      <protection hidden="1"/>
    </xf>
    <xf numFmtId="168" fontId="47" fillId="9" borderId="6" xfId="2" applyNumberFormat="1" applyFont="1" applyFill="1" applyBorder="1" applyAlignment="1">
      <alignment horizontal="center"/>
    </xf>
    <xf numFmtId="168" fontId="49" fillId="9" borderId="16" xfId="2" applyNumberFormat="1" applyFont="1" applyFill="1" applyBorder="1" applyAlignment="1">
      <alignment horizontal="center" vertical="center" wrapText="1"/>
    </xf>
    <xf numFmtId="168" fontId="49" fillId="9" borderId="6" xfId="2" applyNumberFormat="1" applyFont="1" applyFill="1" applyBorder="1" applyAlignment="1">
      <alignment horizontal="center" vertical="center" wrapText="1"/>
    </xf>
    <xf numFmtId="168" fontId="49" fillId="9" borderId="6" xfId="2" applyNumberFormat="1" applyFont="1" applyFill="1" applyBorder="1"/>
    <xf numFmtId="168" fontId="42" fillId="9" borderId="6" xfId="2" applyNumberFormat="1" applyFont="1" applyFill="1" applyBorder="1"/>
    <xf numFmtId="168" fontId="49" fillId="9" borderId="17" xfId="2" applyNumberFormat="1" applyFont="1" applyFill="1" applyBorder="1" applyAlignment="1">
      <alignment horizontal="center" vertical="center" wrapText="1"/>
    </xf>
    <xf numFmtId="0" fontId="5" fillId="13" borderId="6" xfId="0" applyFont="1" applyFill="1" applyBorder="1"/>
    <xf numFmtId="0" fontId="5" fillId="13" borderId="6" xfId="0" applyFont="1" applyFill="1" applyBorder="1" applyProtection="1"/>
    <xf numFmtId="168" fontId="49" fillId="9" borderId="22" xfId="2" applyNumberFormat="1" applyFont="1" applyFill="1" applyBorder="1" applyAlignment="1">
      <alignment horizontal="center" vertical="center" wrapText="1"/>
    </xf>
    <xf numFmtId="168" fontId="5" fillId="13" borderId="6" xfId="2" applyNumberFormat="1" applyFont="1" applyFill="1" applyBorder="1" applyProtection="1"/>
    <xf numFmtId="168" fontId="49" fillId="13" borderId="17" xfId="2" applyNumberFormat="1" applyFont="1" applyFill="1" applyBorder="1" applyAlignment="1">
      <alignment horizontal="center" vertical="center" wrapText="1"/>
    </xf>
    <xf numFmtId="168" fontId="42" fillId="13" borderId="0" xfId="2" applyNumberFormat="1" applyFont="1" applyFill="1"/>
    <xf numFmtId="168" fontId="3" fillId="0" borderId="16" xfId="2" applyNumberFormat="1" applyFont="1" applyFill="1" applyBorder="1" applyAlignment="1" applyProtection="1">
      <alignment horizontal="left" vertical="center"/>
    </xf>
    <xf numFmtId="168" fontId="5" fillId="0" borderId="16" xfId="2" applyNumberFormat="1" applyFont="1" applyFill="1" applyBorder="1" applyAlignment="1" applyProtection="1">
      <alignment horizontal="center"/>
    </xf>
    <xf numFmtId="168" fontId="3" fillId="6" borderId="32" xfId="2" applyNumberFormat="1" applyFont="1" applyFill="1" applyBorder="1" applyAlignment="1" applyProtection="1">
      <alignment horizontal="left" vertical="center"/>
    </xf>
    <xf numFmtId="168" fontId="5" fillId="6" borderId="32" xfId="2" applyNumberFormat="1" applyFont="1" applyFill="1" applyBorder="1" applyAlignment="1" applyProtection="1">
      <alignment horizontal="center"/>
    </xf>
    <xf numFmtId="168" fontId="5" fillId="6" borderId="0" xfId="2" applyNumberFormat="1" applyFont="1" applyFill="1" applyBorder="1"/>
    <xf numFmtId="168" fontId="42" fillId="6" borderId="0" xfId="2" applyNumberFormat="1" applyFont="1" applyFill="1" applyBorder="1"/>
    <xf numFmtId="168" fontId="5" fillId="6" borderId="0" xfId="2" applyNumberFormat="1" applyFont="1" applyFill="1" applyBorder="1" applyAlignment="1" applyProtection="1">
      <alignment horizontal="center"/>
      <protection locked="0"/>
    </xf>
    <xf numFmtId="168" fontId="3" fillId="15" borderId="6" xfId="2" applyNumberFormat="1" applyFont="1" applyFill="1" applyBorder="1" applyAlignment="1" applyProtection="1">
      <alignment horizontal="left" vertical="center"/>
    </xf>
    <xf numFmtId="168" fontId="1" fillId="15" borderId="6" xfId="2" applyNumberFormat="1" applyFont="1" applyFill="1" applyBorder="1"/>
    <xf numFmtId="168" fontId="1" fillId="15" borderId="6" xfId="2" applyNumberFormat="1" applyFont="1" applyFill="1" applyBorder="1" applyAlignment="1" applyProtection="1">
      <alignment horizontal="center"/>
    </xf>
    <xf numFmtId="0" fontId="36" fillId="0" borderId="6" xfId="0" applyFont="1" applyBorder="1" applyAlignment="1" applyProtection="1">
      <alignment horizontal="left"/>
      <protection locked="0"/>
    </xf>
    <xf numFmtId="0" fontId="4" fillId="0" borderId="6" xfId="0" applyFont="1" applyBorder="1" applyAlignment="1" applyProtection="1">
      <alignment horizontal="left"/>
      <protection locked="0"/>
    </xf>
    <xf numFmtId="0" fontId="5" fillId="6" borderId="0" xfId="0" applyFont="1" applyFill="1" applyBorder="1" applyAlignment="1" applyProtection="1">
      <alignment horizontal="center"/>
      <protection locked="0"/>
    </xf>
    <xf numFmtId="0" fontId="4" fillId="0" borderId="6" xfId="0" applyFont="1" applyFill="1" applyBorder="1" applyAlignment="1" applyProtection="1">
      <alignment horizontal="left"/>
    </xf>
    <xf numFmtId="168" fontId="3" fillId="16" borderId="20" xfId="2" applyNumberFormat="1" applyFont="1" applyFill="1" applyBorder="1" applyAlignment="1" applyProtection="1">
      <alignment horizontal="center"/>
    </xf>
    <xf numFmtId="168" fontId="1" fillId="9" borderId="6" xfId="2" applyNumberFormat="1" applyFont="1" applyFill="1" applyBorder="1" applyProtection="1"/>
    <xf numFmtId="0" fontId="5" fillId="0" borderId="0" xfId="0" applyFont="1" applyAlignment="1">
      <alignment horizontal="left"/>
    </xf>
    <xf numFmtId="0" fontId="1" fillId="4" borderId="6" xfId="0" applyFont="1" applyFill="1" applyBorder="1"/>
    <xf numFmtId="168" fontId="1" fillId="0" borderId="6" xfId="2" applyNumberFormat="1" applyFont="1" applyBorder="1" applyProtection="1">
      <protection locked="0"/>
    </xf>
    <xf numFmtId="0" fontId="1" fillId="4" borderId="6" xfId="0" applyFont="1" applyFill="1" applyBorder="1" applyAlignment="1">
      <alignment wrapText="1"/>
    </xf>
    <xf numFmtId="0" fontId="1" fillId="4" borderId="6" xfId="6" applyFill="1" applyBorder="1"/>
    <xf numFmtId="0" fontId="1" fillId="9" borderId="6" xfId="6" applyFill="1" applyBorder="1"/>
    <xf numFmtId="0" fontId="1" fillId="13" borderId="6" xfId="6" applyFill="1" applyBorder="1"/>
    <xf numFmtId="0" fontId="7" fillId="7" borderId="6" xfId="0" applyFont="1" applyFill="1" applyBorder="1" applyAlignment="1">
      <alignment horizontal="left"/>
    </xf>
    <xf numFmtId="168" fontId="1" fillId="7" borderId="6" xfId="2" applyNumberFormat="1" applyFont="1" applyFill="1" applyBorder="1"/>
    <xf numFmtId="168" fontId="43" fillId="7" borderId="6" xfId="2" applyNumberFormat="1" applyFont="1" applyFill="1" applyBorder="1"/>
    <xf numFmtId="168" fontId="50" fillId="7" borderId="6" xfId="2" applyNumberFormat="1" applyFont="1" applyFill="1" applyBorder="1"/>
    <xf numFmtId="0" fontId="0" fillId="0" borderId="15" xfId="0" applyBorder="1"/>
    <xf numFmtId="0" fontId="52" fillId="10" borderId="6" xfId="0" applyFont="1" applyFill="1" applyBorder="1" applyAlignment="1">
      <alignment horizontal="left" vertical="top" wrapText="1"/>
    </xf>
    <xf numFmtId="0" fontId="59" fillId="17" borderId="6" xfId="0" applyFont="1" applyFill="1" applyBorder="1" applyAlignment="1">
      <alignment horizontal="center" vertical="top" wrapText="1"/>
    </xf>
    <xf numFmtId="0" fontId="12" fillId="0" borderId="0" xfId="0" applyFont="1" applyAlignment="1">
      <alignment horizontal="center"/>
    </xf>
    <xf numFmtId="0" fontId="5" fillId="6" borderId="0" xfId="0" applyFont="1" applyFill="1"/>
    <xf numFmtId="168" fontId="30" fillId="6" borderId="0" xfId="2" applyNumberFormat="1" applyFont="1" applyFill="1" applyBorder="1"/>
    <xf numFmtId="168" fontId="45" fillId="6" borderId="0" xfId="2" applyNumberFormat="1" applyFont="1" applyFill="1" applyBorder="1"/>
    <xf numFmtId="168" fontId="5" fillId="6" borderId="0" xfId="2" applyNumberFormat="1" applyFont="1" applyFill="1"/>
    <xf numFmtId="170" fontId="31" fillId="6" borderId="0" xfId="4" applyNumberFormat="1" applyFont="1" applyFill="1" applyBorder="1"/>
    <xf numFmtId="10" fontId="31" fillId="6" borderId="0" xfId="5" applyNumberFormat="1" applyFont="1" applyFill="1" applyBorder="1"/>
    <xf numFmtId="0" fontId="50" fillId="6" borderId="0" xfId="0" applyFont="1" applyFill="1" applyBorder="1" applyAlignment="1">
      <alignment horizontal="left"/>
    </xf>
    <xf numFmtId="0" fontId="29" fillId="6" borderId="0" xfId="0" applyFont="1" applyFill="1" applyBorder="1" applyAlignment="1">
      <alignment horizontal="left"/>
    </xf>
    <xf numFmtId="168" fontId="30" fillId="0" borderId="0" xfId="2" applyNumberFormat="1" applyFont="1" applyFill="1" applyBorder="1" applyProtection="1">
      <protection locked="0"/>
    </xf>
    <xf numFmtId="168" fontId="45" fillId="0" borderId="0" xfId="2" applyNumberFormat="1" applyFont="1" applyFill="1" applyBorder="1" applyProtection="1">
      <protection locked="0"/>
    </xf>
    <xf numFmtId="170" fontId="31" fillId="0" borderId="0" xfId="4" applyNumberFormat="1" applyFont="1" applyFill="1" applyBorder="1" applyProtection="1">
      <protection locked="0"/>
    </xf>
    <xf numFmtId="168" fontId="5" fillId="0" borderId="0" xfId="2" applyNumberFormat="1" applyFont="1" applyFill="1" applyProtection="1">
      <protection locked="0"/>
    </xf>
    <xf numFmtId="0" fontId="5" fillId="0" borderId="0" xfId="0" applyFont="1" applyProtection="1">
      <protection locked="0"/>
    </xf>
    <xf numFmtId="168" fontId="5" fillId="0" borderId="0" xfId="2" applyNumberFormat="1" applyFont="1" applyProtection="1">
      <protection locked="0"/>
    </xf>
    <xf numFmtId="168" fontId="42" fillId="0" borderId="0" xfId="2" applyNumberFormat="1" applyFont="1" applyProtection="1">
      <protection locked="0"/>
    </xf>
    <xf numFmtId="0" fontId="29" fillId="0" borderId="0" xfId="0" applyFont="1" applyFill="1" applyBorder="1" applyAlignment="1" applyProtection="1">
      <alignment horizontal="left"/>
      <protection locked="0"/>
    </xf>
    <xf numFmtId="166" fontId="13" fillId="3" borderId="5" xfId="2" applyFont="1" applyFill="1" applyBorder="1" applyAlignment="1">
      <alignment horizontal="center" vertical="top" wrapText="1"/>
    </xf>
    <xf numFmtId="0" fontId="52" fillId="10" borderId="33" xfId="0" applyFont="1" applyFill="1" applyBorder="1" applyAlignment="1">
      <alignment horizontal="left" vertical="top" wrapText="1"/>
    </xf>
    <xf numFmtId="0" fontId="52" fillId="10" borderId="34" xfId="0" applyFont="1" applyFill="1" applyBorder="1" applyAlignment="1">
      <alignment horizontal="left" vertical="top" wrapText="1"/>
    </xf>
    <xf numFmtId="0" fontId="62" fillId="19" borderId="4" xfId="0" applyFont="1" applyFill="1" applyBorder="1" applyAlignment="1">
      <alignment horizontal="center" vertical="top" wrapText="1"/>
    </xf>
    <xf numFmtId="168" fontId="5" fillId="0" borderId="14" xfId="2" applyNumberFormat="1" applyFont="1" applyFill="1" applyBorder="1" applyProtection="1"/>
    <xf numFmtId="0" fontId="3" fillId="0" borderId="13" xfId="0" applyFont="1" applyFill="1" applyBorder="1" applyProtection="1"/>
    <xf numFmtId="0" fontId="37" fillId="0" borderId="0" xfId="0" applyFont="1" applyFill="1" applyAlignment="1" applyProtection="1">
      <alignment horizontal="left"/>
    </xf>
    <xf numFmtId="0" fontId="64" fillId="0" borderId="24" xfId="0" applyFont="1" applyBorder="1" applyAlignment="1">
      <alignment horizontal="left" vertical="center" readingOrder="2"/>
    </xf>
    <xf numFmtId="0" fontId="65" fillId="0" borderId="24" xfId="0" applyFont="1" applyBorder="1" applyAlignment="1">
      <alignment horizontal="left" vertical="center" readingOrder="2"/>
    </xf>
    <xf numFmtId="168" fontId="2" fillId="9" borderId="17" xfId="2" applyNumberFormat="1" applyFont="1" applyFill="1" applyBorder="1" applyAlignment="1">
      <alignment horizontal="center" vertical="center" wrapText="1"/>
    </xf>
    <xf numFmtId="168" fontId="2" fillId="9" borderId="6" xfId="2" applyNumberFormat="1" applyFont="1" applyFill="1" applyBorder="1" applyAlignment="1">
      <alignment horizontal="center" vertical="center" wrapText="1"/>
    </xf>
    <xf numFmtId="168" fontId="5" fillId="4" borderId="22" xfId="2" applyNumberFormat="1" applyFont="1" applyFill="1" applyBorder="1" applyAlignment="1" applyProtection="1">
      <alignment horizontal="center" vertical="center"/>
      <protection hidden="1"/>
    </xf>
    <xf numFmtId="168" fontId="5" fillId="4" borderId="17" xfId="2" applyNumberFormat="1" applyFont="1" applyFill="1" applyBorder="1" applyAlignment="1" applyProtection="1">
      <alignment horizontal="center" vertical="center"/>
      <protection hidden="1"/>
    </xf>
    <xf numFmtId="168" fontId="61" fillId="0" borderId="0" xfId="2" applyNumberFormat="1" applyFont="1" applyAlignment="1" applyProtection="1">
      <alignment horizontal="left" wrapText="1"/>
      <protection hidden="1"/>
    </xf>
    <xf numFmtId="168" fontId="23" fillId="0" borderId="0" xfId="2" applyNumberFormat="1" applyFont="1" applyAlignment="1" applyProtection="1">
      <alignment horizontal="center" vertical="center" wrapText="1"/>
      <protection hidden="1"/>
    </xf>
    <xf numFmtId="0" fontId="1" fillId="4" borderId="16" xfId="0" applyFont="1" applyFill="1" applyBorder="1" applyAlignment="1">
      <alignment horizontal="left" vertical="center"/>
    </xf>
    <xf numFmtId="0" fontId="1" fillId="4" borderId="17" xfId="0" applyFont="1" applyFill="1" applyBorder="1" applyAlignment="1">
      <alignment horizontal="left" vertical="center"/>
    </xf>
    <xf numFmtId="168" fontId="1" fillId="0" borderId="16" xfId="2" applyNumberFormat="1" applyFont="1" applyBorder="1" applyAlignment="1" applyProtection="1">
      <alignment horizontal="right" vertical="center"/>
      <protection locked="0"/>
    </xf>
    <xf numFmtId="168" fontId="1" fillId="0" borderId="17" xfId="2" applyNumberFormat="1" applyFont="1" applyBorder="1" applyAlignment="1" applyProtection="1">
      <alignment horizontal="right" vertical="center"/>
      <protection locked="0"/>
    </xf>
    <xf numFmtId="168" fontId="2" fillId="9" borderId="16" xfId="2" applyNumberFormat="1" applyFont="1" applyFill="1" applyBorder="1" applyAlignment="1">
      <alignment horizontal="center" vertical="center" wrapText="1"/>
    </xf>
    <xf numFmtId="168" fontId="58" fillId="13" borderId="9" xfId="2" applyNumberFormat="1" applyFont="1" applyFill="1" applyBorder="1" applyAlignment="1">
      <alignment horizontal="center"/>
    </xf>
    <xf numFmtId="168" fontId="58" fillId="13" borderId="11" xfId="2" applyNumberFormat="1" applyFont="1" applyFill="1" applyBorder="1" applyAlignment="1">
      <alignment horizontal="center"/>
    </xf>
    <xf numFmtId="168" fontId="5" fillId="4" borderId="16" xfId="2" applyNumberFormat="1" applyFont="1" applyFill="1" applyBorder="1" applyAlignment="1">
      <alignment horizontal="center"/>
    </xf>
    <xf numFmtId="168" fontId="5" fillId="4" borderId="17" xfId="2" applyNumberFormat="1" applyFont="1" applyFill="1" applyBorder="1" applyAlignment="1">
      <alignment horizontal="center"/>
    </xf>
    <xf numFmtId="168" fontId="5" fillId="0" borderId="24" xfId="2" applyNumberFormat="1" applyFont="1" applyBorder="1" applyAlignment="1">
      <alignment horizontal="left"/>
    </xf>
    <xf numFmtId="168" fontId="5" fillId="0" borderId="0" xfId="2" applyNumberFormat="1" applyFont="1" applyAlignment="1">
      <alignment horizontal="left"/>
    </xf>
    <xf numFmtId="168" fontId="3" fillId="16" borderId="6" xfId="2" applyNumberFormat="1" applyFont="1" applyFill="1" applyBorder="1" applyAlignment="1">
      <alignment horizontal="center"/>
    </xf>
    <xf numFmtId="0" fontId="60" fillId="0" borderId="0" xfId="0" applyFont="1" applyAlignment="1" applyProtection="1">
      <alignment horizontal="left"/>
      <protection hidden="1"/>
    </xf>
    <xf numFmtId="168" fontId="3" fillId="0" borderId="16" xfId="2" applyNumberFormat="1" applyFont="1" applyFill="1" applyBorder="1" applyAlignment="1" applyProtection="1">
      <alignment horizontal="center"/>
    </xf>
    <xf numFmtId="168" fontId="3" fillId="0" borderId="22" xfId="2" applyNumberFormat="1" applyFont="1" applyFill="1" applyBorder="1" applyAlignment="1" applyProtection="1">
      <alignment horizontal="center"/>
    </xf>
    <xf numFmtId="168" fontId="3" fillId="0" borderId="17" xfId="2" applyNumberFormat="1" applyFont="1" applyFill="1" applyBorder="1" applyAlignment="1" applyProtection="1">
      <alignment horizontal="center"/>
    </xf>
    <xf numFmtId="168" fontId="3" fillId="0" borderId="13" xfId="2" applyNumberFormat="1" applyFont="1" applyFill="1" applyBorder="1" applyAlignment="1" applyProtection="1">
      <alignment horizontal="center"/>
    </xf>
    <xf numFmtId="168" fontId="3" fillId="0" borderId="15" xfId="2" applyNumberFormat="1" applyFont="1" applyFill="1" applyBorder="1" applyAlignment="1" applyProtection="1">
      <alignment horizontal="center"/>
    </xf>
    <xf numFmtId="0" fontId="15" fillId="14" borderId="0" xfId="0" applyFont="1" applyFill="1" applyBorder="1" applyAlignment="1">
      <alignment horizontal="center"/>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2" fillId="19" borderId="13" xfId="0" applyFont="1" applyFill="1" applyBorder="1" applyAlignment="1">
      <alignment horizontal="center" vertical="center" wrapText="1"/>
    </xf>
    <xf numFmtId="0" fontId="62" fillId="19" borderId="15" xfId="0" applyFont="1" applyFill="1" applyBorder="1" applyAlignment="1">
      <alignment horizontal="center" vertical="center" wrapText="1"/>
    </xf>
    <xf numFmtId="0" fontId="63" fillId="19" borderId="29" xfId="0" applyFont="1" applyFill="1" applyBorder="1" applyAlignment="1">
      <alignment horizontal="left"/>
    </xf>
    <xf numFmtId="0" fontId="63" fillId="19" borderId="30" xfId="0" applyFont="1" applyFill="1" applyBorder="1" applyAlignment="1">
      <alignment horizontal="left"/>
    </xf>
    <xf numFmtId="0" fontId="63" fillId="19" borderId="20" xfId="0" applyFont="1" applyFill="1" applyBorder="1" applyAlignment="1">
      <alignment horizontal="left"/>
    </xf>
    <xf numFmtId="0" fontId="62" fillId="19" borderId="16" xfId="0" applyFont="1" applyFill="1" applyBorder="1" applyAlignment="1">
      <alignment horizontal="center" vertical="center" wrapText="1"/>
    </xf>
    <xf numFmtId="0" fontId="62" fillId="19" borderId="31" xfId="0" applyFont="1" applyFill="1" applyBorder="1" applyAlignment="1">
      <alignment horizontal="center" vertical="center" wrapText="1"/>
    </xf>
    <xf numFmtId="0" fontId="62" fillId="19" borderId="16" xfId="0" applyFont="1" applyFill="1" applyBorder="1" applyAlignment="1">
      <alignment horizontal="center" vertical="top" wrapText="1"/>
    </xf>
    <xf numFmtId="0" fontId="62" fillId="19" borderId="31" xfId="0" applyFont="1" applyFill="1" applyBorder="1" applyAlignment="1">
      <alignment horizontal="center" vertical="top" wrapText="1"/>
    </xf>
    <xf numFmtId="0" fontId="6" fillId="5" borderId="24" xfId="0" applyFont="1" applyFill="1" applyBorder="1" applyAlignment="1">
      <alignment horizontal="center" vertical="center" wrapText="1"/>
    </xf>
    <xf numFmtId="0" fontId="14" fillId="18" borderId="29" xfId="0" applyFont="1" applyFill="1" applyBorder="1" applyAlignment="1">
      <alignment horizontal="left"/>
    </xf>
    <xf numFmtId="0" fontId="14" fillId="18" borderId="30" xfId="0" applyFont="1" applyFill="1" applyBorder="1" applyAlignment="1">
      <alignment horizontal="left"/>
    </xf>
    <xf numFmtId="0" fontId="14" fillId="18" borderId="20" xfId="0" applyFont="1" applyFill="1" applyBorder="1" applyAlignment="1">
      <alignment horizontal="left"/>
    </xf>
    <xf numFmtId="0" fontId="59" fillId="17" borderId="6" xfId="0" applyFont="1" applyFill="1" applyBorder="1" applyAlignment="1">
      <alignment horizontal="center" vertical="center" wrapText="1"/>
    </xf>
    <xf numFmtId="0" fontId="59" fillId="17" borderId="6" xfId="0" applyFont="1" applyFill="1" applyBorder="1" applyAlignment="1">
      <alignment horizontal="center" vertical="top" wrapText="1"/>
    </xf>
    <xf numFmtId="0" fontId="6" fillId="5" borderId="0" xfId="0" applyFont="1" applyFill="1" applyBorder="1" applyAlignment="1">
      <alignment horizontal="center" vertical="center" wrapText="1"/>
    </xf>
  </cellXfs>
  <cellStyles count="7">
    <cellStyle name="Hipervínculo" xfId="1" builtinId="8"/>
    <cellStyle name="Millares" xfId="2" builtinId="3"/>
    <cellStyle name="Millares [0]" xfId="3" builtinId="6"/>
    <cellStyle name="Moneda" xfId="4" builtinId="4"/>
    <cellStyle name="Normal" xfId="0" builtinId="0"/>
    <cellStyle name="Normal 2" xfId="6" xr:uid="{6DDE4528-FFB3-4D92-9923-B811CE40FD4A}"/>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PRINT1!A1"/><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ROC1!A7"/></Relationships>
</file>

<file path=xl/drawings/drawing1.xml><?xml version="1.0" encoding="utf-8"?>
<xdr:wsDr xmlns:xdr="http://schemas.openxmlformats.org/drawingml/2006/spreadsheetDrawing" xmlns:a="http://schemas.openxmlformats.org/drawingml/2006/main">
  <xdr:twoCellAnchor>
    <xdr:from>
      <xdr:col>3</xdr:col>
      <xdr:colOff>1297305</xdr:colOff>
      <xdr:row>1</xdr:row>
      <xdr:rowOff>26670</xdr:rowOff>
    </xdr:from>
    <xdr:to>
      <xdr:col>3</xdr:col>
      <xdr:colOff>5039205</xdr:colOff>
      <xdr:row>4</xdr:row>
      <xdr:rowOff>200025</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773555" y="93345"/>
          <a:ext cx="3741900" cy="573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400">
              <a:latin typeface="Arial" panose="020B0604020202020204" pitchFamily="34" charset="0"/>
              <a:cs typeface="Arial" panose="020B0604020202020204" pitchFamily="34" charset="0"/>
            </a:rPr>
            <a:t>Retefuente para asalariados-</a:t>
          </a:r>
          <a:r>
            <a:rPr lang="es-CO" sz="1400" baseline="0">
              <a:latin typeface="Arial" panose="020B0604020202020204" pitchFamily="34" charset="0"/>
              <a:cs typeface="Arial" panose="020B0604020202020204" pitchFamily="34" charset="0"/>
            </a:rPr>
            <a:t> Art. 385 ET</a:t>
          </a:r>
          <a:endParaRPr lang="es-CO" sz="1400">
            <a:latin typeface="Arial" panose="020B0604020202020204" pitchFamily="34" charset="0"/>
            <a:cs typeface="Arial" panose="020B0604020202020204" pitchFamily="34" charset="0"/>
          </a:endParaRPr>
        </a:p>
      </xdr:txBody>
    </xdr:sp>
    <xdr:clientData/>
  </xdr:twoCellAnchor>
  <xdr:twoCellAnchor>
    <xdr:from>
      <xdr:col>8</xdr:col>
      <xdr:colOff>723900</xdr:colOff>
      <xdr:row>1</xdr:row>
      <xdr:rowOff>85493</xdr:rowOff>
    </xdr:from>
    <xdr:to>
      <xdr:col>8</xdr:col>
      <xdr:colOff>1419224</xdr:colOff>
      <xdr:row>5</xdr:row>
      <xdr:rowOff>47625</xdr:rowOff>
    </xdr:to>
    <xdr:grpSp>
      <xdr:nvGrpSpPr>
        <xdr:cNvPr id="5" name="Grupo 4">
          <a:hlinkClick xmlns:r="http://schemas.openxmlformats.org/officeDocument/2006/relationships" r:id="rId1" tooltip="Ir a vista prar impresión"/>
          <a:extLst>
            <a:ext uri="{FF2B5EF4-FFF2-40B4-BE49-F238E27FC236}">
              <a16:creationId xmlns:a16="http://schemas.microsoft.com/office/drawing/2014/main" id="{00000000-0008-0000-0000-000005000000}"/>
            </a:ext>
          </a:extLst>
        </xdr:cNvPr>
        <xdr:cNvGrpSpPr/>
      </xdr:nvGrpSpPr>
      <xdr:grpSpPr>
        <a:xfrm>
          <a:off x="9973733" y="148993"/>
          <a:ext cx="695324" cy="583021"/>
          <a:chOff x="1009650" y="114068"/>
          <a:chExt cx="695324" cy="590782"/>
        </a:xfrm>
      </xdr:grpSpPr>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editAs="oneCell">
    <xdr:from>
      <xdr:col>1</xdr:col>
      <xdr:colOff>38099</xdr:colOff>
      <xdr:row>1</xdr:row>
      <xdr:rowOff>38101</xdr:rowOff>
    </xdr:from>
    <xdr:to>
      <xdr:col>3</xdr:col>
      <xdr:colOff>1251229</xdr:colOff>
      <xdr:row>4</xdr:row>
      <xdr:rowOff>200025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4" y="104776"/>
          <a:ext cx="1584605" cy="561974"/>
        </a:xfrm>
        <a:prstGeom prst="rect">
          <a:avLst/>
        </a:prstGeom>
      </xdr:spPr>
    </xdr:pic>
    <xdr:clientData/>
  </xdr:twoCellAnchor>
  <xdr:twoCellAnchor>
    <xdr:from>
      <xdr:col>9</xdr:col>
      <xdr:colOff>134055</xdr:colOff>
      <xdr:row>1</xdr:row>
      <xdr:rowOff>28223</xdr:rowOff>
    </xdr:from>
    <xdr:to>
      <xdr:col>10</xdr:col>
      <xdr:colOff>906946</xdr:colOff>
      <xdr:row>4</xdr:row>
      <xdr:rowOff>201592</xdr:rowOff>
    </xdr:to>
    <xdr:grpSp>
      <xdr:nvGrpSpPr>
        <xdr:cNvPr id="9" name="Grupo 8">
          <a:hlinkClick xmlns:r="http://schemas.openxmlformats.org/officeDocument/2006/relationships" r:id="rId4"/>
          <a:extLst>
            <a:ext uri="{FF2B5EF4-FFF2-40B4-BE49-F238E27FC236}">
              <a16:creationId xmlns:a16="http://schemas.microsoft.com/office/drawing/2014/main" id="{CB963CE0-B71E-448D-A4D9-DB2E26B82678}"/>
            </a:ext>
          </a:extLst>
        </xdr:cNvPr>
        <xdr:cNvGrpSpPr/>
      </xdr:nvGrpSpPr>
      <xdr:grpSpPr>
        <a:xfrm>
          <a:off x="10879666" y="91723"/>
          <a:ext cx="1683058" cy="568480"/>
          <a:chOff x="3048000" y="2209800"/>
          <a:chExt cx="1683058" cy="568480"/>
        </a:xfrm>
      </xdr:grpSpPr>
      <xdr:sp macro="" textlink="">
        <xdr:nvSpPr>
          <xdr:cNvPr id="11" name="Rectángulo: esquinas redondeadas 10">
            <a:extLst>
              <a:ext uri="{FF2B5EF4-FFF2-40B4-BE49-F238E27FC236}">
                <a16:creationId xmlns:a16="http://schemas.microsoft.com/office/drawing/2014/main" id="{52BEBD2B-4BCC-4F27-B465-CC4CA7FA20C0}"/>
              </a:ext>
            </a:extLst>
          </xdr:cNvPr>
          <xdr:cNvSpPr/>
        </xdr:nvSpPr>
        <xdr:spPr>
          <a:xfrm>
            <a:off x="3048000" y="2209800"/>
            <a:ext cx="1658398" cy="56848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12" name="Imagen 11">
            <a:extLst>
              <a:ext uri="{FF2B5EF4-FFF2-40B4-BE49-F238E27FC236}">
                <a16:creationId xmlns:a16="http://schemas.microsoft.com/office/drawing/2014/main" id="{218C24F3-808E-412D-A466-C1E5338FC3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91156" y="2243240"/>
            <a:ext cx="484727" cy="525843"/>
          </a:xfrm>
          <a:prstGeom prst="rect">
            <a:avLst/>
          </a:prstGeom>
        </xdr:spPr>
      </xdr:pic>
      <xdr:sp macro="" textlink="">
        <xdr:nvSpPr>
          <xdr:cNvPr id="13" name="CuadroTexto 12">
            <a:extLst>
              <a:ext uri="{FF2B5EF4-FFF2-40B4-BE49-F238E27FC236}">
                <a16:creationId xmlns:a16="http://schemas.microsoft.com/office/drawing/2014/main" id="{277CAAF7-E986-4591-AE45-EF823F5A2624}"/>
              </a:ext>
            </a:extLst>
          </xdr:cNvPr>
          <xdr:cNvSpPr txBox="1"/>
        </xdr:nvSpPr>
        <xdr:spPr>
          <a:xfrm>
            <a:off x="3584359" y="2229864"/>
            <a:ext cx="1146699"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4" name="CuadroTexto 13">
            <a:extLst>
              <a:ext uri="{FF2B5EF4-FFF2-40B4-BE49-F238E27FC236}">
                <a16:creationId xmlns:a16="http://schemas.microsoft.com/office/drawing/2014/main" id="{BF359A91-7E13-406B-9800-F21DD9C30634}"/>
              </a:ext>
            </a:extLst>
          </xdr:cNvPr>
          <xdr:cNvSpPr txBox="1"/>
        </xdr:nvSpPr>
        <xdr:spPr>
          <a:xfrm>
            <a:off x="3601129" y="2428631"/>
            <a:ext cx="967912"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1</xdr:row>
      <xdr:rowOff>85725</xdr:rowOff>
    </xdr:from>
    <xdr:to>
      <xdr:col>3</xdr:col>
      <xdr:colOff>12502</xdr:colOff>
      <xdr:row>3</xdr:row>
      <xdr:rowOff>77561</xdr:rowOff>
    </xdr:to>
    <xdr:pic>
      <xdr:nvPicPr>
        <xdr:cNvPr id="10" name="Imagen 9" descr="Imagen relacionada">
          <a:hlinkClick xmlns:r="http://schemas.openxmlformats.org/officeDocument/2006/relationships" r:id="rId1" tooltip="Retornar"/>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6200" y="15240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41413</xdr:colOff>
      <xdr:row>1</xdr:row>
      <xdr:rowOff>99391</xdr:rowOff>
    </xdr:from>
    <xdr:to>
      <xdr:col>1</xdr:col>
      <xdr:colOff>453965</xdr:colOff>
      <xdr:row>3</xdr:row>
      <xdr:rowOff>57683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9391" y="16565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74543</xdr:colOff>
      <xdr:row>1</xdr:row>
      <xdr:rowOff>132521</xdr:rowOff>
    </xdr:from>
    <xdr:to>
      <xdr:col>1</xdr:col>
      <xdr:colOff>487095</xdr:colOff>
      <xdr:row>3</xdr:row>
      <xdr:rowOff>90813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32521" y="19878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276"/>
  <sheetViews>
    <sheetView showGridLines="0" tabSelected="1" defaultGridColor="0" colorId="23" zoomScale="90" zoomScaleNormal="90" workbookViewId="0">
      <pane ySplit="6" topLeftCell="A7" activePane="bottomLeft" state="frozen"/>
      <selection pane="bottomLeft" activeCell="F8" sqref="F8"/>
    </sheetView>
  </sheetViews>
  <sheetFormatPr baseColWidth="10" defaultColWidth="0" defaultRowHeight="12.5" outlineLevelCol="1"/>
  <cols>
    <col min="1" max="1" width="1.54296875" style="25" customWidth="1"/>
    <col min="2" max="2" width="4" style="25" customWidth="1"/>
    <col min="3" max="3" width="1.54296875" style="25" customWidth="1"/>
    <col min="4" max="4" width="76.54296875" style="25" customWidth="1"/>
    <col min="5" max="5" width="16.453125" style="31" customWidth="1"/>
    <col min="6" max="6" width="32.26953125" style="31" customWidth="1" outlineLevel="1"/>
    <col min="7" max="7" width="11.453125" style="32" hidden="1" customWidth="1" outlineLevel="1"/>
    <col min="8" max="8" width="11" style="32" hidden="1" customWidth="1" outlineLevel="1"/>
    <col min="9" max="9" width="21.453125" style="31" customWidth="1"/>
    <col min="10" max="10" width="13" style="31" bestFit="1" customWidth="1"/>
    <col min="11" max="11" width="14.7265625" style="31" customWidth="1"/>
    <col min="12" max="13" width="11.453125" style="31" hidden="1" customWidth="1"/>
    <col min="14" max="14" width="11.453125" style="25" hidden="1" customWidth="1"/>
    <col min="15" max="16384" width="0" style="25" hidden="1"/>
  </cols>
  <sheetData>
    <row r="1" spans="1:14" ht="5.25" customHeight="1"/>
    <row r="2" spans="1:14" ht="8.25" customHeight="1">
      <c r="B2" s="159"/>
      <c r="C2" s="159"/>
      <c r="D2" s="159"/>
      <c r="E2" s="160"/>
      <c r="F2" s="160"/>
      <c r="G2" s="161"/>
      <c r="H2" s="161"/>
      <c r="I2" s="160"/>
      <c r="J2" s="162"/>
      <c r="K2" s="162"/>
      <c r="L2" s="33"/>
      <c r="M2" s="33"/>
      <c r="N2" s="33"/>
    </row>
    <row r="3" spans="1:14" ht="16.5" customHeight="1">
      <c r="B3" s="159"/>
      <c r="C3" s="159"/>
      <c r="D3" s="163"/>
      <c r="E3" s="168" t="s">
        <v>90</v>
      </c>
      <c r="F3" s="162"/>
      <c r="G3" s="164"/>
      <c r="H3" s="164"/>
      <c r="I3" s="162"/>
      <c r="J3" s="162"/>
      <c r="K3" s="162"/>
      <c r="L3" s="33"/>
      <c r="M3" s="33"/>
      <c r="N3" s="33"/>
    </row>
    <row r="4" spans="1:14" ht="6.75" customHeight="1">
      <c r="B4" s="159"/>
      <c r="C4" s="159"/>
      <c r="D4" s="163"/>
      <c r="E4" s="169"/>
      <c r="F4" s="165"/>
      <c r="G4" s="166"/>
      <c r="H4" s="166"/>
      <c r="I4" s="165"/>
      <c r="J4" s="162"/>
      <c r="K4" s="162"/>
      <c r="L4" s="33"/>
      <c r="M4" s="33"/>
      <c r="N4" s="33"/>
    </row>
    <row r="5" spans="1:14" ht="18">
      <c r="B5" s="159"/>
      <c r="C5" s="159"/>
      <c r="D5" s="167"/>
      <c r="E5" s="170" t="str">
        <f>+B8</f>
        <v>Procedimiento No. 1</v>
      </c>
      <c r="F5" s="162"/>
      <c r="G5" s="164"/>
      <c r="H5" s="164"/>
      <c r="I5" s="162"/>
      <c r="J5" s="162"/>
      <c r="K5" s="162"/>
      <c r="L5" s="33"/>
      <c r="M5" s="33"/>
      <c r="N5" s="33"/>
    </row>
    <row r="6" spans="1:14" ht="6" customHeight="1">
      <c r="B6" s="143"/>
      <c r="C6" s="143"/>
      <c r="D6" s="143"/>
      <c r="E6" s="147"/>
      <c r="F6" s="144"/>
      <c r="G6" s="145"/>
      <c r="H6" s="145"/>
      <c r="I6" s="144"/>
      <c r="J6" s="146"/>
      <c r="K6" s="146"/>
      <c r="L6" s="33"/>
      <c r="M6" s="33"/>
      <c r="N6" s="33"/>
    </row>
    <row r="8" spans="1:14" ht="18">
      <c r="B8" s="157" t="s">
        <v>9</v>
      </c>
      <c r="C8" s="158"/>
      <c r="D8" s="158"/>
      <c r="E8" s="25"/>
      <c r="F8" s="34"/>
      <c r="I8" s="35" t="s">
        <v>5</v>
      </c>
      <c r="K8" s="255"/>
      <c r="L8" s="255"/>
      <c r="M8" s="255"/>
      <c r="N8" s="255"/>
    </row>
    <row r="9" spans="1:14" ht="15" customHeight="1">
      <c r="E9" s="25"/>
      <c r="F9" s="34"/>
      <c r="I9" s="36"/>
      <c r="K9" s="255"/>
      <c r="L9" s="255"/>
      <c r="M9" s="255"/>
      <c r="N9" s="255"/>
    </row>
    <row r="10" spans="1:14" ht="13" thickBot="1">
      <c r="D10" s="210"/>
      <c r="K10" s="255"/>
      <c r="L10" s="255"/>
      <c r="M10" s="255"/>
      <c r="N10" s="255"/>
    </row>
    <row r="11" spans="1:14" ht="14.5" thickBot="1">
      <c r="D11" s="204" t="s">
        <v>105</v>
      </c>
      <c r="F11" s="208" t="s">
        <v>13</v>
      </c>
      <c r="I11" s="37" t="s">
        <v>91</v>
      </c>
      <c r="K11" s="255"/>
      <c r="L11" s="255"/>
      <c r="M11" s="255"/>
      <c r="N11" s="255"/>
    </row>
    <row r="12" spans="1:14" ht="14">
      <c r="D12" s="205" t="s">
        <v>106</v>
      </c>
      <c r="K12" s="255"/>
      <c r="L12" s="255"/>
      <c r="M12" s="255"/>
      <c r="N12" s="255"/>
    </row>
    <row r="13" spans="1:14" ht="14">
      <c r="D13" s="205" t="s">
        <v>107</v>
      </c>
      <c r="F13" s="267" t="s">
        <v>104</v>
      </c>
      <c r="G13" s="267"/>
      <c r="H13" s="267"/>
      <c r="I13" s="267"/>
      <c r="K13" s="255"/>
      <c r="L13" s="255"/>
      <c r="M13" s="255"/>
      <c r="N13" s="255"/>
    </row>
    <row r="14" spans="1:14" ht="13">
      <c r="A14" s="38"/>
      <c r="D14" s="206"/>
      <c r="F14" s="201" t="s">
        <v>103</v>
      </c>
      <c r="G14" s="202"/>
      <c r="H14" s="202"/>
      <c r="I14" s="203">
        <v>38004</v>
      </c>
    </row>
    <row r="15" spans="1:14" ht="14">
      <c r="D15" s="268" t="str">
        <f ca="1">IF(D100=1,"Visite www.consultorcontable.com y descargue la versión para el año actual","")</f>
        <v/>
      </c>
      <c r="E15" s="268"/>
      <c r="F15" s="198"/>
      <c r="G15" s="199"/>
      <c r="H15" s="199"/>
      <c r="I15" s="200"/>
    </row>
    <row r="16" spans="1:14" ht="13" thickBot="1"/>
    <row r="17" spans="2:12" ht="14.5" thickBot="1">
      <c r="B17" s="171"/>
      <c r="C17" s="172"/>
      <c r="D17" s="173" t="s">
        <v>14</v>
      </c>
      <c r="E17" s="174" t="s">
        <v>10</v>
      </c>
      <c r="F17" s="175" t="s">
        <v>11</v>
      </c>
      <c r="G17" s="261" t="s">
        <v>45</v>
      </c>
      <c r="H17" s="262"/>
      <c r="I17" s="175" t="s">
        <v>12</v>
      </c>
    </row>
    <row r="18" spans="2:12" ht="13.5" thickBot="1">
      <c r="D18" s="1"/>
      <c r="E18" s="40"/>
      <c r="F18" s="40"/>
      <c r="G18" s="41"/>
      <c r="H18" s="41"/>
      <c r="I18" s="40"/>
      <c r="L18" s="31" t="s">
        <v>34</v>
      </c>
    </row>
    <row r="19" spans="2:12" ht="14.25" customHeight="1" thickBot="1">
      <c r="B19" s="42">
        <v>1</v>
      </c>
      <c r="C19" s="43"/>
      <c r="D19" s="92" t="s">
        <v>54</v>
      </c>
    </row>
    <row r="20" spans="2:12" ht="12.75" customHeight="1">
      <c r="D20" s="44" t="s">
        <v>25</v>
      </c>
      <c r="E20" s="39">
        <v>0</v>
      </c>
      <c r="F20" s="179"/>
      <c r="G20" s="182"/>
      <c r="H20" s="182"/>
      <c r="I20" s="45">
        <f>+E20</f>
        <v>0</v>
      </c>
    </row>
    <row r="21" spans="2:12" ht="12.75" customHeight="1">
      <c r="D21" s="44" t="s">
        <v>26</v>
      </c>
      <c r="E21" s="39">
        <v>0</v>
      </c>
      <c r="F21" s="179"/>
      <c r="G21" s="182"/>
      <c r="H21" s="182"/>
      <c r="I21" s="45">
        <f t="shared" ref="I21:I37" si="0">+E21</f>
        <v>0</v>
      </c>
    </row>
    <row r="22" spans="2:12" ht="12.75" customHeight="1">
      <c r="D22" s="44" t="s">
        <v>27</v>
      </c>
      <c r="E22" s="39">
        <v>0</v>
      </c>
      <c r="F22" s="179"/>
      <c r="G22" s="182"/>
      <c r="H22" s="182"/>
      <c r="I22" s="45">
        <f t="shared" si="0"/>
        <v>0</v>
      </c>
    </row>
    <row r="23" spans="2:12" ht="12.75" customHeight="1">
      <c r="D23" s="44" t="s">
        <v>28</v>
      </c>
      <c r="E23" s="39">
        <v>0</v>
      </c>
      <c r="F23" s="179"/>
      <c r="G23" s="182"/>
      <c r="H23" s="182"/>
      <c r="I23" s="45">
        <f t="shared" si="0"/>
        <v>0</v>
      </c>
    </row>
    <row r="24" spans="2:12" ht="12.75" customHeight="1">
      <c r="D24" s="44" t="s">
        <v>29</v>
      </c>
      <c r="E24" s="39">
        <v>0</v>
      </c>
      <c r="F24" s="179"/>
      <c r="G24" s="182"/>
      <c r="H24" s="182"/>
      <c r="I24" s="45">
        <f t="shared" si="0"/>
        <v>0</v>
      </c>
    </row>
    <row r="25" spans="2:12" ht="12.75" customHeight="1">
      <c r="D25" s="44" t="s">
        <v>42</v>
      </c>
      <c r="E25" s="39">
        <v>0</v>
      </c>
      <c r="F25" s="179"/>
      <c r="G25" s="182"/>
      <c r="H25" s="182"/>
      <c r="I25" s="45">
        <f t="shared" si="0"/>
        <v>0</v>
      </c>
    </row>
    <row r="26" spans="2:12" ht="12.75" customHeight="1">
      <c r="D26" s="44" t="s">
        <v>30</v>
      </c>
      <c r="E26" s="39">
        <v>0</v>
      </c>
      <c r="F26" s="179"/>
      <c r="G26" s="182"/>
      <c r="H26" s="182"/>
      <c r="I26" s="45">
        <f t="shared" si="0"/>
        <v>0</v>
      </c>
    </row>
    <row r="27" spans="2:12" hidden="1">
      <c r="D27" s="188"/>
      <c r="E27" s="39">
        <v>0</v>
      </c>
      <c r="F27" s="179"/>
      <c r="G27" s="182"/>
      <c r="H27" s="182"/>
      <c r="I27" s="45">
        <f t="shared" si="0"/>
        <v>0</v>
      </c>
    </row>
    <row r="28" spans="2:12" ht="12.75" customHeight="1">
      <c r="D28" s="44" t="s">
        <v>43</v>
      </c>
      <c r="E28" s="39">
        <v>0</v>
      </c>
      <c r="F28" s="179"/>
      <c r="G28" s="182"/>
      <c r="H28" s="182"/>
      <c r="I28" s="45">
        <f t="shared" si="0"/>
        <v>0</v>
      </c>
    </row>
    <row r="29" spans="2:12" ht="12.75" customHeight="1">
      <c r="D29" s="44" t="s">
        <v>41</v>
      </c>
      <c r="E29" s="39">
        <v>0</v>
      </c>
      <c r="F29" s="179"/>
      <c r="G29" s="182"/>
      <c r="H29" s="182"/>
      <c r="I29" s="45">
        <f t="shared" si="0"/>
        <v>0</v>
      </c>
    </row>
    <row r="30" spans="2:12" ht="12.75" customHeight="1">
      <c r="D30" s="44" t="s">
        <v>31</v>
      </c>
      <c r="E30" s="39">
        <v>0</v>
      </c>
      <c r="F30" s="179"/>
      <c r="G30" s="182"/>
      <c r="H30" s="182"/>
      <c r="I30" s="45">
        <f t="shared" si="0"/>
        <v>0</v>
      </c>
    </row>
    <row r="31" spans="2:12" ht="12.75" customHeight="1">
      <c r="D31" s="44" t="s">
        <v>60</v>
      </c>
      <c r="E31" s="39">
        <v>0</v>
      </c>
      <c r="F31" s="179"/>
      <c r="G31" s="182"/>
      <c r="H31" s="182"/>
      <c r="I31" s="45">
        <f t="shared" si="0"/>
        <v>0</v>
      </c>
    </row>
    <row r="32" spans="2:12" ht="12.75" customHeight="1">
      <c r="D32" s="44" t="s">
        <v>68</v>
      </c>
      <c r="E32" s="209"/>
      <c r="F32" s="179" t="s">
        <v>34</v>
      </c>
      <c r="G32" s="182"/>
      <c r="H32" s="182"/>
      <c r="I32" s="209"/>
    </row>
    <row r="33" spans="2:11" ht="12.75" customHeight="1">
      <c r="D33" s="44" t="s">
        <v>69</v>
      </c>
      <c r="E33" s="209"/>
      <c r="F33" s="179" t="s">
        <v>34</v>
      </c>
      <c r="G33" s="182"/>
      <c r="H33" s="182"/>
      <c r="I33" s="209"/>
    </row>
    <row r="34" spans="2:11" ht="12.75" customHeight="1">
      <c r="D34" s="65" t="s">
        <v>116</v>
      </c>
      <c r="E34" s="39">
        <v>0</v>
      </c>
      <c r="F34" s="179"/>
      <c r="G34" s="182"/>
      <c r="H34" s="182"/>
      <c r="I34" s="45">
        <f t="shared" si="0"/>
        <v>0</v>
      </c>
    </row>
    <row r="35" spans="2:11" ht="12.75" customHeight="1">
      <c r="D35" s="44" t="s">
        <v>32</v>
      </c>
      <c r="E35" s="39">
        <v>0</v>
      </c>
      <c r="F35" s="179"/>
      <c r="G35" s="182"/>
      <c r="H35" s="182"/>
      <c r="I35" s="45">
        <f t="shared" si="0"/>
        <v>0</v>
      </c>
    </row>
    <row r="36" spans="2:11" ht="12.75" customHeight="1">
      <c r="D36" s="44" t="s">
        <v>33</v>
      </c>
      <c r="E36" s="39">
        <v>0</v>
      </c>
      <c r="F36" s="179"/>
      <c r="G36" s="182"/>
      <c r="H36" s="182"/>
      <c r="I36" s="45">
        <f t="shared" si="0"/>
        <v>0</v>
      </c>
    </row>
    <row r="37" spans="2:11" ht="12.75" customHeight="1">
      <c r="B37" s="46"/>
      <c r="D37" s="44" t="s">
        <v>63</v>
      </c>
      <c r="E37" s="39">
        <v>0</v>
      </c>
      <c r="F37" s="179"/>
      <c r="G37" s="182"/>
      <c r="H37" s="182"/>
      <c r="I37" s="45">
        <f t="shared" si="0"/>
        <v>0</v>
      </c>
    </row>
    <row r="38" spans="2:11" ht="12.75" customHeight="1">
      <c r="B38" s="46"/>
      <c r="D38" s="47" t="s">
        <v>114</v>
      </c>
      <c r="E38" s="48">
        <f>SUM(E20:E37)-E34</f>
        <v>0</v>
      </c>
      <c r="F38" s="49"/>
      <c r="G38" s="50"/>
      <c r="H38" s="50"/>
      <c r="I38" s="48">
        <f>SUM(I20:I37)-I34</f>
        <v>0</v>
      </c>
    </row>
    <row r="39" spans="2:11" ht="13" thickBot="1">
      <c r="B39" s="46"/>
      <c r="F39" s="51"/>
      <c r="G39" s="52"/>
      <c r="H39" s="52"/>
      <c r="I39" s="31" t="s">
        <v>34</v>
      </c>
    </row>
    <row r="40" spans="2:11" ht="14.25" customHeight="1" thickBot="1">
      <c r="B40" s="42">
        <v>2</v>
      </c>
      <c r="D40" s="60" t="s">
        <v>70</v>
      </c>
    </row>
    <row r="41" spans="2:11" ht="14.25" customHeight="1">
      <c r="B41" s="61"/>
      <c r="D41" s="44" t="s">
        <v>64</v>
      </c>
      <c r="E41" s="39">
        <v>0</v>
      </c>
      <c r="F41" s="177" t="s">
        <v>65</v>
      </c>
      <c r="G41" s="183"/>
      <c r="H41" s="183">
        <f>+E41</f>
        <v>0</v>
      </c>
      <c r="I41" s="45">
        <f>+H41</f>
        <v>0</v>
      </c>
      <c r="J41" s="32" t="str">
        <f>IF(I41&gt;($I$20*4%),"El valor supera el 4% descontado al empleado según sueldo","")</f>
        <v/>
      </c>
      <c r="K41"/>
    </row>
    <row r="42" spans="2:11" ht="14.25" customHeight="1">
      <c r="B42" s="61"/>
      <c r="D42" s="44" t="s">
        <v>55</v>
      </c>
      <c r="E42" s="39">
        <v>0</v>
      </c>
      <c r="F42" s="177" t="s">
        <v>65</v>
      </c>
      <c r="G42" s="184"/>
      <c r="H42" s="184">
        <f>+E42</f>
        <v>0</v>
      </c>
      <c r="I42" s="45">
        <f>+H42</f>
        <v>0</v>
      </c>
      <c r="J42" s="32" t="str">
        <f>IF(I42&gt;($I$20*2%),"El valor supera el 2% descontado al empleado según sueldo","")</f>
        <v/>
      </c>
    </row>
    <row r="43" spans="2:11" ht="14.25" customHeight="1">
      <c r="B43" s="61"/>
      <c r="D43" s="90" t="s">
        <v>77</v>
      </c>
      <c r="E43" s="39">
        <v>0</v>
      </c>
      <c r="F43" s="177" t="s">
        <v>76</v>
      </c>
      <c r="G43" s="184">
        <f>I38*25%</f>
        <v>0</v>
      </c>
      <c r="H43" s="184">
        <f>2500*I14</f>
        <v>95010000</v>
      </c>
      <c r="I43" s="45">
        <f>IF(E43&lt;J43,E43,J43)</f>
        <v>0</v>
      </c>
      <c r="J43" s="34">
        <f>MIN(G43,H43)</f>
        <v>0</v>
      </c>
    </row>
    <row r="44" spans="2:11" ht="14.25" customHeight="1">
      <c r="B44" s="61"/>
      <c r="D44" s="134" t="s">
        <v>82</v>
      </c>
      <c r="E44" s="39">
        <v>0</v>
      </c>
      <c r="F44" s="177" t="s">
        <v>65</v>
      </c>
      <c r="G44" s="184"/>
      <c r="H44" s="184">
        <f>+E44</f>
        <v>0</v>
      </c>
      <c r="I44" s="45">
        <f>+E44</f>
        <v>0</v>
      </c>
      <c r="J44" s="32" t="str">
        <f>IF(I44&gt;($I$20*4%),"El valor supera el 4% descontado al empleado según sueldo","")</f>
        <v/>
      </c>
      <c r="K44" s="62"/>
    </row>
    <row r="45" spans="2:11" ht="13">
      <c r="B45" s="46"/>
      <c r="D45" s="65" t="s">
        <v>71</v>
      </c>
      <c r="E45" s="48">
        <f>SUM(E41:E44)</f>
        <v>0</v>
      </c>
      <c r="F45" s="178"/>
      <c r="G45" s="185"/>
      <c r="H45" s="185"/>
      <c r="I45" s="48">
        <f>SUM(I41:I44)</f>
        <v>0</v>
      </c>
    </row>
    <row r="46" spans="2:11">
      <c r="B46" s="46"/>
    </row>
    <row r="47" spans="2:11" ht="13">
      <c r="B47" s="46"/>
      <c r="D47" s="53" t="s">
        <v>15</v>
      </c>
      <c r="E47" s="54"/>
      <c r="F47" s="55"/>
      <c r="G47" s="56"/>
      <c r="H47" s="56"/>
      <c r="I47" s="57">
        <f>+I38-I45</f>
        <v>0</v>
      </c>
    </row>
    <row r="48" spans="2:11" ht="13" thickBot="1">
      <c r="B48" s="46"/>
      <c r="H48" s="32" t="s">
        <v>34</v>
      </c>
      <c r="I48" s="66"/>
    </row>
    <row r="49" spans="2:14" ht="16" thickBot="1">
      <c r="B49" s="42">
        <v>3</v>
      </c>
      <c r="D49" s="89" t="s">
        <v>51</v>
      </c>
      <c r="H49" s="32" t="s">
        <v>34</v>
      </c>
    </row>
    <row r="50" spans="2:14" ht="16.5" customHeight="1">
      <c r="B50" s="46"/>
      <c r="D50" s="211" t="s">
        <v>61</v>
      </c>
      <c r="E50" s="212">
        <v>0</v>
      </c>
      <c r="F50" s="177" t="s">
        <v>44</v>
      </c>
      <c r="G50" s="184">
        <f>100*I14</f>
        <v>3800400</v>
      </c>
      <c r="H50" s="186"/>
      <c r="I50" s="45">
        <f>+IF((E50&gt;G50),G50,E50)</f>
        <v>0</v>
      </c>
    </row>
    <row r="51" spans="2:14" ht="28.15" customHeight="1">
      <c r="B51" s="46"/>
      <c r="D51" s="213" t="s">
        <v>62</v>
      </c>
      <c r="E51" s="212">
        <v>0</v>
      </c>
      <c r="F51" s="177" t="s">
        <v>8</v>
      </c>
      <c r="G51" s="184">
        <f>16*I14</f>
        <v>608064</v>
      </c>
      <c r="H51" s="186"/>
      <c r="I51" s="45">
        <f>+IF(E51&lt;(16*I14),E51,(16*I14))</f>
        <v>0</v>
      </c>
    </row>
    <row r="52" spans="2:14" ht="12" customHeight="1">
      <c r="B52" s="46"/>
      <c r="D52" s="256" t="s">
        <v>108</v>
      </c>
      <c r="E52" s="258"/>
      <c r="F52" s="260" t="s">
        <v>83</v>
      </c>
      <c r="G52" s="184">
        <f>I38*0.1</f>
        <v>0</v>
      </c>
      <c r="H52" s="187"/>
      <c r="I52" s="263">
        <f>IF(E52="SI",MIN(G52:G53),0)</f>
        <v>0</v>
      </c>
      <c r="J52" s="265"/>
      <c r="K52" s="266"/>
      <c r="L52" s="266"/>
      <c r="M52" s="266"/>
      <c r="N52" s="266"/>
    </row>
    <row r="53" spans="2:14" ht="10.5" customHeight="1">
      <c r="B53" s="46"/>
      <c r="D53" s="257"/>
      <c r="E53" s="259"/>
      <c r="F53" s="250"/>
      <c r="G53" s="187">
        <f>32*I14</f>
        <v>1216128</v>
      </c>
      <c r="H53" s="187"/>
      <c r="I53" s="264"/>
      <c r="J53" s="265"/>
      <c r="K53" s="266"/>
      <c r="L53" s="266"/>
      <c r="M53" s="266"/>
      <c r="N53" s="266"/>
    </row>
    <row r="54" spans="2:14" ht="13">
      <c r="B54" s="46"/>
      <c r="D54" s="65" t="s">
        <v>16</v>
      </c>
      <c r="E54" s="48">
        <f>SUM(E50:E53)</f>
        <v>0</v>
      </c>
      <c r="F54" s="178"/>
      <c r="G54" s="185"/>
      <c r="H54" s="185"/>
      <c r="I54" s="48">
        <f>SUM(I50:I53)</f>
        <v>0</v>
      </c>
      <c r="K54" s="31" t="s">
        <v>34</v>
      </c>
    </row>
    <row r="55" spans="2:14" ht="13" thickBot="1">
      <c r="B55" s="46"/>
      <c r="D55" s="46"/>
      <c r="E55" s="46"/>
      <c r="F55" s="46"/>
      <c r="G55" s="46"/>
      <c r="H55" s="46"/>
      <c r="I55" s="46"/>
    </row>
    <row r="56" spans="2:14" ht="16" thickBot="1">
      <c r="B56" s="42">
        <v>4</v>
      </c>
      <c r="D56" s="89" t="s">
        <v>50</v>
      </c>
      <c r="E56" s="46"/>
      <c r="F56" s="152"/>
      <c r="G56" s="152"/>
      <c r="H56" s="152"/>
      <c r="I56" s="152"/>
    </row>
    <row r="57" spans="2:14" hidden="1">
      <c r="B57" s="46"/>
      <c r="D57" s="188"/>
      <c r="E57" s="191">
        <f>+E27</f>
        <v>0</v>
      </c>
      <c r="F57" s="250" t="s">
        <v>79</v>
      </c>
      <c r="G57" s="192"/>
      <c r="H57" s="193"/>
      <c r="I57" s="252">
        <f>+IF(H58&lt;G58,H58,G58)</f>
        <v>0</v>
      </c>
    </row>
    <row r="58" spans="2:14">
      <c r="B58" s="46"/>
      <c r="D58" s="214" t="s">
        <v>52</v>
      </c>
      <c r="E58" s="212">
        <v>0</v>
      </c>
      <c r="F58" s="251"/>
      <c r="G58" s="190">
        <f>IF((E58+E59)&lt;(I38*30%),(+E58+E59),(I38*30%))</f>
        <v>0</v>
      </c>
      <c r="H58" s="183">
        <f>+I14*(3800/12)</f>
        <v>12034600</v>
      </c>
      <c r="I58" s="252"/>
    </row>
    <row r="59" spans="2:14">
      <c r="B59" s="46"/>
      <c r="D59" s="215" t="s">
        <v>111</v>
      </c>
      <c r="E59" s="212">
        <v>0</v>
      </c>
      <c r="F59" s="251"/>
      <c r="G59" s="184"/>
      <c r="H59" s="187"/>
      <c r="I59" s="253"/>
    </row>
    <row r="60" spans="2:14" hidden="1">
      <c r="D60" s="216"/>
      <c r="E60" s="212"/>
      <c r="F60" s="177"/>
      <c r="G60" s="184"/>
      <c r="H60" s="184"/>
      <c r="I60" s="63">
        <f t="shared" ref="I60:I65" si="1">+E60</f>
        <v>0</v>
      </c>
    </row>
    <row r="61" spans="2:14">
      <c r="D61" s="214" t="s">
        <v>73</v>
      </c>
      <c r="E61" s="212">
        <v>0</v>
      </c>
      <c r="F61" s="177"/>
      <c r="G61" s="184"/>
      <c r="H61" s="184"/>
      <c r="I61" s="63">
        <f t="shared" si="1"/>
        <v>0</v>
      </c>
    </row>
    <row r="62" spans="2:14" ht="12.75" hidden="1" customHeight="1">
      <c r="D62" s="216"/>
      <c r="E62" s="212"/>
      <c r="F62" s="177"/>
      <c r="G62" s="184"/>
      <c r="H62" s="184"/>
      <c r="I62" s="63">
        <f t="shared" si="1"/>
        <v>0</v>
      </c>
    </row>
    <row r="63" spans="2:14">
      <c r="B63" s="46"/>
      <c r="D63" s="214" t="s">
        <v>80</v>
      </c>
      <c r="E63" s="212">
        <v>0</v>
      </c>
      <c r="F63" s="177"/>
      <c r="G63" s="184"/>
      <c r="H63" s="184"/>
      <c r="I63" s="63">
        <f t="shared" si="1"/>
        <v>0</v>
      </c>
    </row>
    <row r="64" spans="2:14">
      <c r="B64" s="46"/>
      <c r="D64" s="214" t="s">
        <v>74</v>
      </c>
      <c r="E64" s="212">
        <v>0</v>
      </c>
      <c r="F64" s="177"/>
      <c r="G64" s="184"/>
      <c r="H64" s="184"/>
      <c r="I64" s="63">
        <f t="shared" si="1"/>
        <v>0</v>
      </c>
      <c r="K64" s="64"/>
    </row>
    <row r="65" spans="2:12">
      <c r="B65" s="46"/>
      <c r="D65" s="214" t="s">
        <v>81</v>
      </c>
      <c r="E65" s="212">
        <v>0</v>
      </c>
      <c r="F65" s="177"/>
      <c r="G65" s="184"/>
      <c r="H65" s="184"/>
      <c r="I65" s="63">
        <f t="shared" si="1"/>
        <v>0</v>
      </c>
    </row>
    <row r="66" spans="2:12" ht="13">
      <c r="B66" s="46"/>
      <c r="D66" s="65" t="s">
        <v>66</v>
      </c>
      <c r="E66" s="48">
        <f>SUM(E57:E65)</f>
        <v>0</v>
      </c>
      <c r="F66" s="178"/>
      <c r="G66" s="185"/>
      <c r="H66" s="185"/>
      <c r="I66" s="48">
        <f>SUM(I57:I65)</f>
        <v>0</v>
      </c>
      <c r="K66" s="238"/>
    </row>
    <row r="67" spans="2:12">
      <c r="B67" s="46"/>
      <c r="I67" s="66"/>
      <c r="J67" s="238"/>
      <c r="K67" s="238"/>
    </row>
    <row r="68" spans="2:12" ht="13">
      <c r="B68" s="46"/>
      <c r="D68" s="53" t="s">
        <v>117</v>
      </c>
      <c r="E68" s="54"/>
      <c r="F68" s="54"/>
      <c r="G68" s="67"/>
      <c r="H68" s="56"/>
      <c r="I68" s="68">
        <f>+I47-I54-I66</f>
        <v>0</v>
      </c>
      <c r="J68" s="238"/>
      <c r="K68" s="238"/>
    </row>
    <row r="69" spans="2:12" ht="13">
      <c r="B69" s="46"/>
      <c r="D69" s="69" t="s">
        <v>72</v>
      </c>
      <c r="E69" s="69"/>
      <c r="F69" s="69"/>
      <c r="G69" s="70"/>
      <c r="H69" s="70"/>
      <c r="I69" s="57">
        <f>I34</f>
        <v>0</v>
      </c>
      <c r="J69" s="238"/>
      <c r="K69" s="238"/>
    </row>
    <row r="70" spans="2:12" ht="13">
      <c r="B70" s="46"/>
      <c r="D70" s="53" t="s">
        <v>117</v>
      </c>
      <c r="E70" s="54"/>
      <c r="F70" s="54"/>
      <c r="G70" s="67"/>
      <c r="H70" s="56"/>
      <c r="I70" s="57">
        <f>+I68</f>
        <v>0</v>
      </c>
      <c r="J70" s="238"/>
      <c r="K70" s="238"/>
    </row>
    <row r="71" spans="2:12" ht="13" thickBot="1">
      <c r="B71" s="46"/>
      <c r="G71" s="32" t="s">
        <v>67</v>
      </c>
      <c r="I71" s="66"/>
      <c r="J71" s="238"/>
      <c r="K71" s="238"/>
    </row>
    <row r="72" spans="2:12" ht="14.25" customHeight="1" thickBot="1">
      <c r="B72" s="42">
        <v>5</v>
      </c>
      <c r="D72" s="71" t="s">
        <v>53</v>
      </c>
      <c r="E72" s="72"/>
      <c r="F72" s="73" t="s">
        <v>2</v>
      </c>
      <c r="G72" s="74">
        <f>+I70</f>
        <v>0</v>
      </c>
      <c r="H72" s="74">
        <f>+I70*0.25</f>
        <v>0</v>
      </c>
      <c r="I72" s="75">
        <f>IF(H72&gt;(240*I14),(240*I14),H72)</f>
        <v>0</v>
      </c>
      <c r="J72" s="238"/>
      <c r="K72" s="238"/>
    </row>
    <row r="73" spans="2:12">
      <c r="B73" s="46"/>
      <c r="J73" s="238"/>
      <c r="K73" s="238"/>
    </row>
    <row r="74" spans="2:12" ht="13">
      <c r="B74" s="46"/>
      <c r="D74" s="217" t="s">
        <v>112</v>
      </c>
      <c r="E74" s="218"/>
      <c r="F74" s="218">
        <f>+I47*0.4</f>
        <v>0</v>
      </c>
      <c r="G74" s="219">
        <f>5040*I14/12</f>
        <v>15961680</v>
      </c>
      <c r="H74" s="219">
        <f>+I72+I66+I54</f>
        <v>0</v>
      </c>
      <c r="I74" s="220">
        <f>MIN(F74:H74)</f>
        <v>0</v>
      </c>
      <c r="J74" s="238"/>
      <c r="K74" s="238"/>
    </row>
    <row r="75" spans="2:12">
      <c r="J75" s="238"/>
    </row>
    <row r="76" spans="2:12" ht="13">
      <c r="D76" s="53" t="s">
        <v>17</v>
      </c>
      <c r="E76" s="54"/>
      <c r="F76" s="55"/>
      <c r="G76" s="56"/>
      <c r="H76" s="56"/>
      <c r="I76" s="76">
        <f>+I47-I74</f>
        <v>0</v>
      </c>
      <c r="J76" s="254">
        <f ca="1">+IF((D100=0),0,"Descargue la versión para el año actual")</f>
        <v>0</v>
      </c>
      <c r="K76" s="254"/>
      <c r="L76" s="254"/>
    </row>
    <row r="77" spans="2:12" ht="11.25" customHeight="1">
      <c r="J77" s="254"/>
      <c r="K77" s="254"/>
      <c r="L77" s="254"/>
    </row>
    <row r="78" spans="2:12" ht="3" customHeight="1">
      <c r="I78" s="77"/>
      <c r="J78" s="254"/>
      <c r="K78" s="254"/>
      <c r="L78" s="254"/>
    </row>
    <row r="79" spans="2:12" ht="2.25" customHeight="1">
      <c r="I79" s="78"/>
    </row>
    <row r="80" spans="2:12" ht="14">
      <c r="D80" s="91" t="s">
        <v>56</v>
      </c>
      <c r="E80" s="79"/>
      <c r="F80" s="80"/>
      <c r="G80" s="81"/>
      <c r="H80" s="81"/>
      <c r="I80" s="82">
        <f>ROUND((TABLA!H18*I14),-3)</f>
        <v>0</v>
      </c>
      <c r="J80" s="126">
        <f>+IF((I80&gt;0),(I80/I38),0)</f>
        <v>0</v>
      </c>
    </row>
    <row r="81" spans="1:13" ht="14">
      <c r="D81" s="71" t="s">
        <v>57</v>
      </c>
      <c r="E81" s="83"/>
      <c r="F81" s="80"/>
      <c r="G81" s="81"/>
      <c r="H81" s="81"/>
      <c r="I81" s="82">
        <f>+ROUND((Tabprima!H18*I14),-3)</f>
        <v>0</v>
      </c>
      <c r="J81" s="126">
        <f>+IF((I81&gt;0),(I81/$E$34),0)</f>
        <v>0</v>
      </c>
    </row>
    <row r="82" spans="1:13" s="225" customFormat="1" ht="7" customHeight="1">
      <c r="D82" s="231"/>
      <c r="E82" s="232"/>
      <c r="F82" s="226"/>
      <c r="G82" s="227"/>
      <c r="H82" s="227"/>
      <c r="I82" s="229"/>
      <c r="J82" s="230"/>
      <c r="K82" s="228"/>
      <c r="L82" s="228"/>
      <c r="M82" s="228"/>
    </row>
    <row r="83" spans="1:13" ht="14">
      <c r="A83" s="84">
        <v>44630</v>
      </c>
      <c r="D83" s="71" t="s">
        <v>113</v>
      </c>
      <c r="E83" s="83"/>
      <c r="F83" s="80"/>
      <c r="G83" s="81"/>
      <c r="H83" s="81"/>
      <c r="I83" s="82">
        <f>SUM(I80:I81)</f>
        <v>0</v>
      </c>
      <c r="J83" s="230" t="s">
        <v>34</v>
      </c>
    </row>
    <row r="84" spans="1:13">
      <c r="D84" s="85"/>
    </row>
    <row r="85" spans="1:13" ht="15" customHeight="1">
      <c r="A85" s="88" t="s">
        <v>109</v>
      </c>
      <c r="D85" s="248" t="s">
        <v>118</v>
      </c>
      <c r="E85" s="25"/>
      <c r="F85" s="25"/>
      <c r="G85" s="25"/>
      <c r="H85" s="25"/>
      <c r="I85" s="25"/>
      <c r="J85" s="25"/>
    </row>
    <row r="86" spans="1:13" s="58" customFormat="1" ht="15" customHeight="1">
      <c r="A86" s="155" t="s">
        <v>110</v>
      </c>
      <c r="D86" s="249" t="s">
        <v>119</v>
      </c>
      <c r="E86" s="240"/>
      <c r="F86" s="233"/>
      <c r="G86" s="234"/>
      <c r="H86" s="234"/>
      <c r="I86" s="235"/>
      <c r="J86" s="236"/>
      <c r="K86" s="236"/>
      <c r="L86" s="59"/>
      <c r="M86" s="59"/>
    </row>
    <row r="87" spans="1:13" ht="15" customHeight="1">
      <c r="D87" s="249" t="s">
        <v>120</v>
      </c>
      <c r="E87" s="237"/>
      <c r="F87" s="237"/>
      <c r="G87" s="237"/>
      <c r="H87" s="237"/>
      <c r="I87" s="237"/>
      <c r="J87" s="237"/>
      <c r="K87" s="238"/>
    </row>
    <row r="88" spans="1:13" ht="12.75" customHeight="1">
      <c r="D88" s="249" t="s">
        <v>121</v>
      </c>
      <c r="E88" s="29"/>
      <c r="F88" s="238"/>
      <c r="G88" s="239"/>
      <c r="H88" s="239"/>
      <c r="I88" s="238"/>
      <c r="J88" s="238"/>
      <c r="K88" s="238"/>
    </row>
    <row r="89" spans="1:13" ht="15" customHeight="1">
      <c r="D89" s="249" t="s">
        <v>122</v>
      </c>
      <c r="E89" s="29"/>
      <c r="F89" s="238"/>
      <c r="G89" s="239"/>
      <c r="H89" s="239"/>
      <c r="I89" s="238"/>
      <c r="J89" s="238"/>
      <c r="K89" s="238"/>
    </row>
    <row r="90" spans="1:13">
      <c r="D90" s="28"/>
      <c r="E90" s="29"/>
      <c r="F90" s="238"/>
      <c r="G90" s="239"/>
      <c r="H90" s="239"/>
      <c r="I90" s="238"/>
      <c r="J90" s="238"/>
      <c r="K90" s="238"/>
    </row>
    <row r="91" spans="1:13" s="86" customFormat="1">
      <c r="D91" s="28"/>
      <c r="E91" s="29"/>
      <c r="F91" s="239"/>
      <c r="G91" s="239"/>
      <c r="H91" s="239"/>
      <c r="I91" s="239"/>
      <c r="J91" s="239"/>
      <c r="K91" s="239"/>
      <c r="L91" s="32"/>
      <c r="M91" s="32"/>
    </row>
    <row r="92" spans="1:13" s="86" customFormat="1">
      <c r="B92" s="87"/>
      <c r="D92" s="28"/>
      <c r="E92" s="29"/>
      <c r="F92" s="239"/>
      <c r="G92" s="239"/>
      <c r="H92" s="239"/>
      <c r="I92" s="239"/>
      <c r="J92" s="239"/>
      <c r="K92" s="239"/>
      <c r="L92" s="32"/>
      <c r="M92" s="32"/>
    </row>
    <row r="93" spans="1:13" s="86" customFormat="1">
      <c r="B93" s="87"/>
      <c r="D93" s="28"/>
      <c r="E93" s="29"/>
      <c r="F93" s="239"/>
      <c r="G93" s="239"/>
      <c r="H93" s="239"/>
      <c r="I93" s="239"/>
      <c r="J93" s="239"/>
      <c r="K93" s="239"/>
      <c r="L93" s="32"/>
      <c r="M93" s="32"/>
    </row>
    <row r="94" spans="1:13" s="86" customFormat="1">
      <c r="D94" s="30" t="s">
        <v>7</v>
      </c>
      <c r="E94" s="29"/>
      <c r="F94" s="239"/>
      <c r="G94" s="239"/>
      <c r="H94" s="239"/>
      <c r="I94" s="239"/>
      <c r="J94" s="239"/>
      <c r="K94" s="239"/>
      <c r="L94" s="32"/>
      <c r="M94" s="32"/>
    </row>
    <row r="95" spans="1:13" s="86" customFormat="1">
      <c r="D95" s="136"/>
      <c r="E95" s="32"/>
      <c r="F95" s="239"/>
      <c r="G95" s="239"/>
      <c r="H95" s="239"/>
      <c r="I95" s="239"/>
      <c r="J95" s="239"/>
      <c r="K95" s="239"/>
      <c r="L95" s="32"/>
      <c r="M95" s="32"/>
    </row>
    <row r="96" spans="1:13" s="86" customFormat="1">
      <c r="E96" s="32"/>
      <c r="F96" s="32"/>
      <c r="G96" s="32"/>
      <c r="H96" s="32"/>
      <c r="I96" s="32"/>
      <c r="J96" s="32"/>
      <c r="K96" s="32"/>
      <c r="L96" s="32"/>
      <c r="M96" s="32"/>
    </row>
    <row r="97" spans="2:13" s="86" customFormat="1" hidden="1">
      <c r="D97" s="154"/>
      <c r="E97" s="32"/>
      <c r="F97" s="32"/>
      <c r="G97" s="32"/>
      <c r="H97" s="32"/>
      <c r="I97" s="32"/>
      <c r="J97" s="32"/>
      <c r="K97" s="32"/>
      <c r="L97" s="32"/>
      <c r="M97" s="32"/>
    </row>
    <row r="98" spans="2:13" s="86" customFormat="1" hidden="1">
      <c r="D98" s="180">
        <f ca="1">+TODAY( )</f>
        <v>44517</v>
      </c>
      <c r="E98" s="32"/>
      <c r="F98" s="32"/>
      <c r="G98" s="32"/>
      <c r="H98" s="32"/>
      <c r="I98" s="32"/>
      <c r="J98" s="32"/>
      <c r="K98" s="32"/>
      <c r="L98" s="32"/>
      <c r="M98" s="32"/>
    </row>
    <row r="99" spans="2:13" s="86" customFormat="1" hidden="1">
      <c r="D99" s="180">
        <v>44957</v>
      </c>
      <c r="E99" s="32"/>
      <c r="F99" s="32"/>
      <c r="G99" s="32"/>
      <c r="H99" s="32"/>
      <c r="I99" s="32"/>
      <c r="J99" s="32"/>
      <c r="K99" s="32"/>
      <c r="L99" s="32"/>
      <c r="M99" s="32"/>
    </row>
    <row r="100" spans="2:13" s="86" customFormat="1" hidden="1">
      <c r="D100" s="181">
        <f ca="1">IF(D98&gt;D99,1,0)</f>
        <v>0</v>
      </c>
      <c r="E100" s="32"/>
      <c r="F100" s="32"/>
      <c r="G100" s="32"/>
      <c r="H100" s="32"/>
      <c r="I100" s="32"/>
      <c r="J100" s="32"/>
      <c r="K100" s="32"/>
      <c r="L100" s="32"/>
      <c r="M100" s="32"/>
    </row>
    <row r="101" spans="2:13" s="86" customFormat="1">
      <c r="D101" s="154"/>
      <c r="E101" s="32"/>
      <c r="F101" s="32"/>
      <c r="G101" s="32"/>
      <c r="H101" s="32"/>
      <c r="I101" s="32"/>
      <c r="J101" s="32"/>
      <c r="K101" s="32"/>
      <c r="L101" s="32"/>
      <c r="M101" s="32"/>
    </row>
    <row r="102" spans="2:13" s="86" customFormat="1">
      <c r="B102" s="25"/>
      <c r="C102" s="25"/>
      <c r="E102" s="32"/>
      <c r="F102" s="32"/>
      <c r="G102" s="32"/>
      <c r="H102" s="32"/>
      <c r="I102" s="32"/>
      <c r="J102" s="32"/>
      <c r="K102" s="32"/>
      <c r="L102" s="32"/>
      <c r="M102" s="32"/>
    </row>
    <row r="103" spans="2:13" s="86" customFormat="1">
      <c r="B103" s="155" t="s">
        <v>91</v>
      </c>
      <c r="C103" s="88"/>
      <c r="E103" s="32"/>
      <c r="F103" s="32"/>
      <c r="G103" s="32"/>
      <c r="H103" s="32"/>
      <c r="I103" s="32"/>
      <c r="J103" s="32"/>
      <c r="K103" s="32"/>
      <c r="L103" s="32"/>
      <c r="M103" s="32"/>
    </row>
    <row r="104" spans="2:13" s="86" customFormat="1">
      <c r="B104" s="155" t="s">
        <v>92</v>
      </c>
      <c r="C104" s="88"/>
      <c r="D104" s="25"/>
      <c r="E104" s="32"/>
      <c r="F104" s="32"/>
      <c r="G104" s="32"/>
      <c r="H104" s="32"/>
      <c r="I104" s="32"/>
      <c r="J104" s="32"/>
      <c r="K104" s="32"/>
      <c r="L104" s="32"/>
      <c r="M104" s="32"/>
    </row>
    <row r="105" spans="2:13" s="86" customFormat="1">
      <c r="B105" s="155" t="s">
        <v>93</v>
      </c>
      <c r="C105" s="88"/>
      <c r="D105" s="25"/>
      <c r="E105" s="32"/>
      <c r="F105" s="32"/>
      <c r="G105" s="32"/>
      <c r="H105" s="32"/>
      <c r="I105" s="32"/>
      <c r="J105" s="32"/>
      <c r="K105" s="32"/>
      <c r="L105" s="32"/>
      <c r="M105" s="32"/>
    </row>
    <row r="106" spans="2:13" s="86" customFormat="1">
      <c r="B106" s="155" t="s">
        <v>94</v>
      </c>
      <c r="C106" s="88"/>
      <c r="D106" s="25"/>
      <c r="E106" s="32"/>
      <c r="F106" s="32"/>
      <c r="G106" s="32"/>
      <c r="H106" s="32"/>
      <c r="I106" s="32"/>
      <c r="J106" s="32"/>
      <c r="K106" s="32"/>
      <c r="L106" s="32"/>
      <c r="M106" s="32"/>
    </row>
    <row r="107" spans="2:13" s="86" customFormat="1">
      <c r="B107" s="155" t="s">
        <v>95</v>
      </c>
      <c r="C107" s="88"/>
      <c r="D107" s="25"/>
      <c r="E107" s="32"/>
      <c r="F107" s="32"/>
      <c r="G107" s="32"/>
      <c r="H107" s="32"/>
      <c r="I107" s="32"/>
      <c r="J107" s="32"/>
      <c r="K107" s="32"/>
      <c r="L107" s="32"/>
      <c r="M107" s="32"/>
    </row>
    <row r="108" spans="2:13" s="86" customFormat="1">
      <c r="B108" s="155" t="s">
        <v>96</v>
      </c>
      <c r="C108" s="88"/>
      <c r="D108" s="25"/>
      <c r="E108" s="32"/>
      <c r="F108" s="32"/>
      <c r="G108" s="32"/>
      <c r="H108" s="32"/>
      <c r="I108" s="32"/>
      <c r="J108" s="32"/>
      <c r="K108" s="32"/>
      <c r="L108" s="32"/>
      <c r="M108" s="32"/>
    </row>
    <row r="109" spans="2:13" s="86" customFormat="1">
      <c r="B109" s="155" t="s">
        <v>97</v>
      </c>
      <c r="C109" s="88"/>
      <c r="D109" s="25"/>
      <c r="E109" s="32"/>
      <c r="F109" s="32"/>
      <c r="G109" s="32"/>
      <c r="H109" s="32"/>
      <c r="I109" s="32"/>
      <c r="J109" s="32"/>
      <c r="K109" s="32"/>
      <c r="L109" s="32"/>
      <c r="M109" s="32"/>
    </row>
    <row r="110" spans="2:13" s="86" customFormat="1">
      <c r="B110" s="155" t="s">
        <v>98</v>
      </c>
      <c r="C110" s="88"/>
      <c r="D110" s="25"/>
      <c r="E110" s="32"/>
      <c r="F110" s="32"/>
      <c r="G110" s="32"/>
      <c r="H110" s="32"/>
      <c r="I110" s="32"/>
      <c r="J110" s="32"/>
      <c r="K110" s="32"/>
      <c r="L110" s="32"/>
      <c r="M110" s="32"/>
    </row>
    <row r="111" spans="2:13" s="86" customFormat="1">
      <c r="B111" s="155" t="s">
        <v>99</v>
      </c>
      <c r="C111" s="88"/>
      <c r="D111" s="25"/>
      <c r="E111" s="32"/>
      <c r="F111" s="32"/>
      <c r="G111" s="32"/>
      <c r="H111" s="32"/>
      <c r="I111" s="32"/>
      <c r="J111" s="32"/>
      <c r="K111" s="32"/>
      <c r="L111" s="32"/>
      <c r="M111" s="32"/>
    </row>
    <row r="112" spans="2:13" s="86" customFormat="1">
      <c r="B112" s="155" t="s">
        <v>100</v>
      </c>
      <c r="C112" s="88"/>
      <c r="D112" s="25"/>
      <c r="E112" s="32"/>
      <c r="F112" s="32"/>
      <c r="G112" s="32"/>
      <c r="H112" s="32"/>
      <c r="I112" s="32"/>
      <c r="J112" s="32"/>
      <c r="K112" s="32"/>
      <c r="L112" s="32"/>
      <c r="M112" s="32"/>
    </row>
    <row r="113" spans="2:13" s="86" customFormat="1">
      <c r="B113" s="155" t="s">
        <v>101</v>
      </c>
      <c r="C113" s="88"/>
      <c r="D113" s="25"/>
      <c r="E113" s="32"/>
      <c r="F113" s="32"/>
      <c r="G113" s="32"/>
      <c r="H113" s="32"/>
      <c r="I113" s="32"/>
      <c r="J113" s="32"/>
      <c r="K113" s="32"/>
      <c r="L113" s="32"/>
      <c r="M113" s="32"/>
    </row>
    <row r="114" spans="2:13" s="86" customFormat="1">
      <c r="B114" s="155" t="s">
        <v>102</v>
      </c>
      <c r="C114" s="88"/>
      <c r="D114" s="25"/>
      <c r="E114" s="32"/>
      <c r="F114" s="32"/>
      <c r="G114" s="32"/>
      <c r="H114" s="32"/>
      <c r="I114" s="32"/>
      <c r="J114" s="32"/>
      <c r="K114" s="32"/>
      <c r="L114" s="32"/>
      <c r="M114" s="32"/>
    </row>
    <row r="115" spans="2:13" s="86" customFormat="1">
      <c r="B115" s="58"/>
      <c r="C115" s="25"/>
      <c r="D115" s="25"/>
      <c r="E115" s="32"/>
      <c r="F115" s="32"/>
      <c r="G115" s="32"/>
      <c r="H115" s="32"/>
      <c r="I115" s="32"/>
      <c r="J115" s="32"/>
      <c r="K115" s="32"/>
      <c r="L115" s="32"/>
      <c r="M115" s="32"/>
    </row>
    <row r="116" spans="2:13" s="86" customFormat="1">
      <c r="B116" s="156"/>
      <c r="E116" s="32"/>
      <c r="F116" s="32"/>
      <c r="G116" s="32"/>
      <c r="H116" s="32"/>
      <c r="I116" s="32"/>
      <c r="J116" s="32"/>
      <c r="K116" s="32"/>
      <c r="L116" s="32"/>
      <c r="M116" s="32"/>
    </row>
    <row r="117" spans="2:13" s="86" customFormat="1">
      <c r="B117" s="156"/>
      <c r="E117" s="32"/>
      <c r="F117" s="32"/>
      <c r="G117" s="32"/>
      <c r="H117" s="32"/>
      <c r="I117" s="32"/>
      <c r="J117" s="32"/>
      <c r="K117" s="32"/>
      <c r="L117" s="32"/>
      <c r="M117" s="32"/>
    </row>
    <row r="118" spans="2:13" s="86" customFormat="1">
      <c r="E118" s="32"/>
      <c r="F118" s="32"/>
      <c r="G118" s="32"/>
      <c r="H118" s="32"/>
      <c r="I118" s="32"/>
      <c r="J118" s="32"/>
      <c r="K118" s="32"/>
      <c r="L118" s="32"/>
      <c r="M118" s="32"/>
    </row>
    <row r="119" spans="2:13" s="86" customFormat="1">
      <c r="E119" s="32"/>
      <c r="F119" s="32"/>
      <c r="G119" s="32"/>
      <c r="H119" s="32"/>
      <c r="I119" s="32"/>
      <c r="J119" s="32"/>
      <c r="K119" s="32"/>
      <c r="L119" s="32"/>
      <c r="M119" s="32"/>
    </row>
    <row r="120" spans="2:13" s="86" customFormat="1">
      <c r="E120" s="32"/>
      <c r="F120" s="32"/>
      <c r="G120" s="32"/>
      <c r="H120" s="32"/>
      <c r="I120" s="32"/>
      <c r="J120" s="32"/>
      <c r="K120" s="32"/>
      <c r="L120" s="32"/>
      <c r="M120" s="32"/>
    </row>
    <row r="121" spans="2:13" s="86" customFormat="1">
      <c r="E121" s="32"/>
      <c r="F121" s="32"/>
      <c r="G121" s="32"/>
      <c r="H121" s="32"/>
      <c r="I121" s="32"/>
      <c r="J121" s="32"/>
      <c r="K121" s="32"/>
      <c r="L121" s="32"/>
      <c r="M121" s="32"/>
    </row>
    <row r="122" spans="2:13" s="86" customFormat="1">
      <c r="E122" s="32"/>
      <c r="F122" s="32"/>
      <c r="G122" s="32"/>
      <c r="H122" s="32"/>
      <c r="I122" s="32"/>
      <c r="J122" s="32"/>
      <c r="K122" s="32"/>
      <c r="L122" s="32"/>
      <c r="M122" s="32"/>
    </row>
    <row r="123" spans="2:13" s="86" customFormat="1">
      <c r="E123" s="32"/>
      <c r="F123" s="32"/>
      <c r="G123" s="32"/>
      <c r="H123" s="32"/>
      <c r="I123" s="32"/>
      <c r="J123" s="32"/>
      <c r="K123" s="32"/>
      <c r="L123" s="32"/>
      <c r="M123" s="32"/>
    </row>
    <row r="124" spans="2:13" s="86" customFormat="1">
      <c r="E124" s="32"/>
      <c r="F124" s="32"/>
      <c r="G124" s="32"/>
      <c r="H124" s="32"/>
      <c r="I124" s="32"/>
      <c r="J124" s="32"/>
      <c r="K124" s="32"/>
      <c r="L124" s="32"/>
      <c r="M124" s="32"/>
    </row>
    <row r="125" spans="2:13" s="86" customFormat="1">
      <c r="E125" s="32"/>
      <c r="F125" s="32"/>
      <c r="G125" s="32"/>
      <c r="H125" s="32"/>
      <c r="I125" s="32"/>
      <c r="J125" s="32"/>
      <c r="K125" s="32"/>
      <c r="L125" s="32"/>
      <c r="M125" s="32"/>
    </row>
    <row r="126" spans="2:13" s="86" customFormat="1">
      <c r="E126" s="32"/>
      <c r="F126" s="32"/>
      <c r="G126" s="32"/>
      <c r="H126" s="32"/>
      <c r="I126" s="32"/>
      <c r="J126" s="32"/>
      <c r="K126" s="32"/>
      <c r="L126" s="32"/>
      <c r="M126" s="32"/>
    </row>
    <row r="127" spans="2:13" s="86" customFormat="1">
      <c r="E127" s="32"/>
      <c r="F127" s="32"/>
      <c r="G127" s="32"/>
      <c r="H127" s="32"/>
      <c r="I127" s="32"/>
      <c r="J127" s="32"/>
      <c r="K127" s="32"/>
      <c r="L127" s="32"/>
      <c r="M127" s="32"/>
    </row>
    <row r="128" spans="2:13" s="86" customFormat="1">
      <c r="E128" s="32"/>
      <c r="F128" s="32"/>
      <c r="G128" s="32"/>
      <c r="H128" s="32"/>
      <c r="I128" s="32"/>
      <c r="J128" s="32"/>
      <c r="K128" s="32"/>
      <c r="L128" s="32"/>
      <c r="M128" s="32"/>
    </row>
    <row r="129" spans="5:13" s="86" customFormat="1">
      <c r="E129" s="32"/>
      <c r="F129" s="32"/>
      <c r="G129" s="32"/>
      <c r="H129" s="32"/>
      <c r="I129" s="32"/>
      <c r="J129" s="32"/>
      <c r="K129" s="32"/>
      <c r="L129" s="32"/>
      <c r="M129" s="32"/>
    </row>
    <row r="130" spans="5:13" s="86" customFormat="1">
      <c r="E130" s="32"/>
      <c r="F130" s="32"/>
      <c r="G130" s="32"/>
      <c r="H130" s="32"/>
      <c r="I130" s="32"/>
      <c r="J130" s="32"/>
      <c r="K130" s="32"/>
      <c r="L130" s="32"/>
      <c r="M130" s="32"/>
    </row>
    <row r="131" spans="5:13" s="86" customFormat="1">
      <c r="E131" s="32"/>
      <c r="F131" s="32"/>
      <c r="G131" s="32"/>
      <c r="H131" s="32"/>
      <c r="I131" s="32"/>
      <c r="J131" s="32"/>
      <c r="K131" s="32"/>
      <c r="L131" s="32"/>
      <c r="M131" s="32"/>
    </row>
    <row r="274" spans="4:4">
      <c r="D274" s="38">
        <f ca="1">TODAY()</f>
        <v>44517</v>
      </c>
    </row>
    <row r="275" spans="4:4">
      <c r="D275" s="38">
        <f>+A83</f>
        <v>44630</v>
      </c>
    </row>
    <row r="276" spans="4:4">
      <c r="D276" s="25" t="str">
        <f ca="1">IF(D275&lt;D274,1,"")</f>
        <v/>
      </c>
    </row>
  </sheetData>
  <sheetProtection algorithmName="SHA-512" hashValue="nBn602r5X1vf8cJOrquw3Fr9Y3SmiHBm0FEfopp9KY2jg8dFaBTV2jRU96xshKbquffvZsOQACOBoL9/F1XFPg==" saltValue="3s3PmVlyc0hn443ax4yRsg==" spinCount="100000" sheet="1" objects="1" scenarios="1"/>
  <mergeCells count="12">
    <mergeCell ref="F57:F59"/>
    <mergeCell ref="I57:I59"/>
    <mergeCell ref="J76:L78"/>
    <mergeCell ref="K8:N13"/>
    <mergeCell ref="D52:D53"/>
    <mergeCell ref="E52:E53"/>
    <mergeCell ref="F52:F53"/>
    <mergeCell ref="G17:H17"/>
    <mergeCell ref="I52:I53"/>
    <mergeCell ref="J52:N53"/>
    <mergeCell ref="F13:I13"/>
    <mergeCell ref="D15:E15"/>
  </mergeCells>
  <phoneticPr fontId="2" type="noConversion"/>
  <dataValidations disablePrompts="1" xWindow="1180" yWindow="332" count="12">
    <dataValidation allowBlank="1" showInputMessage="1" showErrorMessage="1" prompt="Recuerde que estos pagos que efectue el empleador por concepto de alimentación  del trabajador  o de su conyugue co compañero (a) permanente, sus hijos o su padres son ingresos no constitutivos de renta" sqref="E45" xr:uid="{00000000-0002-0000-0000-000000000000}"/>
    <dataValidation type="date" allowBlank="1" showInputMessage="1" showErrorMessage="1" sqref="E88:E94" xr:uid="{00000000-0002-0000-0000-000001000000}">
      <formula1>36526</formula1>
      <formula2>66111</formula2>
    </dataValidation>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0:D37 E20:E31 E35:E37" xr:uid="{00000000-0002-0000-0000-000003000000}"/>
    <dataValidation type="list" allowBlank="1" showInputMessage="1" showErrorMessage="1" prompt="Seleccione  el mes del cálculo" sqref="I11" xr:uid="{00000000-0002-0000-0000-000004000000}">
      <formula1>$B$103:$B$114</formula1>
    </dataValidation>
    <dataValidation allowBlank="1" showInputMessage="1" showErrorMessage="1" prompt="Este rubro no hace parte de la depuración del procedimiento, por tanto se deja la descripción para que no se cometa el error de digitarlo en otra casilla." sqref="E32:E33 I32:I33" xr:uid="{38DCFF71-5387-4990-A901-A9BB24E16837}"/>
    <dataValidation allowBlank="1" showInputMessage="1" showErrorMessage="1" prompt="Nombre de la empresa o empleador_x000a_" sqref="D11" xr:uid="{FB7493CE-7E74-4E03-AE96-419ACBFEC04B}"/>
    <dataValidation allowBlank="1" showInputMessage="1" showErrorMessage="1" promptTitle="Incluya" prompt="Recuerde que en el mes que se pague prima legal, esta se liquida de forma independiente. Al digitar el valor el aplicativo hará el cálculo_x000a_" sqref="E34" xr:uid="{8226156D-9D40-43C1-A019-E0C41D732A80}"/>
    <dataValidation type="list" allowBlank="1" showInputMessage="1" showErrorMessage="1" prompt="Digite o seleccione de la lista: SI  ó NO  tiene derecho a dependientes" sqref="E52:E53" xr:uid="{78BC3D55-EC51-4B4D-8E5E-F48B5300778C}">
      <formula1>$A$85:$A$86</formula1>
    </dataValidation>
    <dataValidation type="whole" allowBlank="1" showInputMessage="1" showErrorMessage="1" prompt="De acuerdo al valor promedio del certificado respectivo." sqref="E50:E51" xr:uid="{7BAF38F1-BAC7-4707-8609-6F412725D036}">
      <formula1>0</formula1>
      <formula2>350000000</formula2>
    </dataValidation>
    <dataValidation allowBlank="1" showInputMessage="1" showErrorMessage="1" prompt="% medido en relación retefuente vs ingresos" sqref="J80" xr:uid="{DB9DDF5D-DFFE-4774-9102-99422FEB8FEE}"/>
    <dataValidation allowBlank="1" showInputMessage="1" showErrorMessage="1" prompt="Total ingresos sin prima de servicios_x000a_" sqref="I38" xr:uid="{6053793F-5557-4D57-A570-2448F2EAE934}"/>
    <dataValidation allowBlank="1" showInputMessage="1" showErrorMessage="1" prompt="Total ingresos sin prima de servicios" sqref="E38" xr:uid="{D8F04375-DE8E-4521-B0D1-D6057ADFADDE}"/>
  </dataValidations>
  <hyperlinks>
    <hyperlink ref="D94" r:id="rId1" xr:uid="{00000000-0004-0000-0000-000000000000}"/>
  </hyperlinks>
  <pageMargins left="0.19685039370078741" right="0.19685039370078741" top="0.39370078740157483" bottom="0.39370078740157483" header="0" footer="0"/>
  <pageSetup scale="6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B1:G109"/>
  <sheetViews>
    <sheetView showGridLines="0" zoomScaleNormal="100" workbookViewId="0">
      <selection activeCell="G68" sqref="G68"/>
    </sheetView>
  </sheetViews>
  <sheetFormatPr baseColWidth="10" defaultColWidth="0" defaultRowHeight="12.5" zeroHeight="1"/>
  <cols>
    <col min="1" max="1" width="1.54296875" style="93" customWidth="1"/>
    <col min="2" max="2" width="4" style="93" customWidth="1"/>
    <col min="3" max="3" width="1.54296875" style="93" customWidth="1"/>
    <col min="4" max="4" width="76.54296875" style="93" customWidth="1"/>
    <col min="5" max="5" width="16.26953125" style="94" customWidth="1"/>
    <col min="6" max="6" width="21.453125" style="94" customWidth="1"/>
    <col min="7" max="7" width="13" style="94" bestFit="1" customWidth="1"/>
    <col min="8" max="16384" width="0" style="93" hidden="1"/>
  </cols>
  <sheetData>
    <row r="1" spans="2:6" ht="5.25" customHeight="1"/>
    <row r="2" spans="2:6" ht="8.25" customHeight="1"/>
    <row r="3" spans="2:6" ht="16.5" customHeight="1">
      <c r="D3" s="95" t="str">
        <f>+PROC1!E3</f>
        <v>Retención aplicable para el año 2022</v>
      </c>
      <c r="E3" s="93"/>
      <c r="F3" s="96"/>
    </row>
    <row r="4" spans="2:6" ht="6.75" customHeight="1">
      <c r="D4" s="97"/>
      <c r="E4" s="98"/>
      <c r="F4" s="98"/>
    </row>
    <row r="5" spans="2:6" ht="18">
      <c r="C5" s="100"/>
      <c r="D5" s="99" t="str">
        <f>+PROC1!E5</f>
        <v>Procedimiento No. 1</v>
      </c>
      <c r="E5" s="93"/>
      <c r="F5" s="101"/>
    </row>
    <row r="6" spans="2:6">
      <c r="E6" s="93"/>
      <c r="F6" s="102"/>
    </row>
    <row r="7" spans="2:6"/>
    <row r="8" spans="2:6" ht="13">
      <c r="D8" s="125" t="str">
        <f>+PROC1!D11</f>
        <v>DHVG CONSULTING SAS</v>
      </c>
      <c r="E8" s="103" t="str">
        <f>+PROC1!F11</f>
        <v>Mes</v>
      </c>
      <c r="F8" s="104" t="str">
        <f>+PROC1!I11</f>
        <v>Enero de 2022</v>
      </c>
    </row>
    <row r="9" spans="2:6" ht="14">
      <c r="D9" s="207" t="str">
        <f>+PROC1!D12</f>
        <v>Nombre del empleado</v>
      </c>
    </row>
    <row r="10" spans="2:6" ht="14">
      <c r="D10" s="207" t="str">
        <f>+PROC1!D13</f>
        <v>cc</v>
      </c>
      <c r="E10" s="272" t="str">
        <f>+PROC1!F13</f>
        <v>VALOR UVT</v>
      </c>
      <c r="F10" s="273"/>
    </row>
    <row r="11" spans="2:6" ht="13">
      <c r="D11" s="105"/>
      <c r="E11" s="194" t="str">
        <f>+PROC1!F14</f>
        <v>Año 2022</v>
      </c>
      <c r="F11" s="195">
        <f>+PROC1!I14</f>
        <v>38004</v>
      </c>
    </row>
    <row r="12" spans="2:6" ht="13">
      <c r="E12" s="196"/>
      <c r="F12" s="197"/>
    </row>
    <row r="13" spans="2:6">
      <c r="D13" s="106" t="s">
        <v>46</v>
      </c>
    </row>
    <row r="14" spans="2:6" ht="14.5" thickBot="1">
      <c r="D14" s="131" t="str">
        <f>+PROC1!D17</f>
        <v>Conceptos</v>
      </c>
      <c r="E14" s="133" t="str">
        <f>+PROC1!E17</f>
        <v>Datos</v>
      </c>
      <c r="F14" s="132" t="str">
        <f>+PROC1!I17</f>
        <v>Depuración</v>
      </c>
    </row>
    <row r="15" spans="2:6" ht="16" thickBot="1">
      <c r="B15" s="107">
        <v>1</v>
      </c>
      <c r="C15" s="108"/>
      <c r="D15" s="109" t="str">
        <f>+PROC1!D19</f>
        <v>Total pagos laborales en el mes</v>
      </c>
    </row>
    <row r="16" spans="2:6">
      <c r="D16" s="110" t="str">
        <f>+PROC1!D20</f>
        <v>Sueldo</v>
      </c>
      <c r="E16" s="111">
        <f>+PROC1!E20</f>
        <v>0</v>
      </c>
      <c r="F16" s="111">
        <f>+PROC1!I20</f>
        <v>0</v>
      </c>
    </row>
    <row r="17" spans="4:6">
      <c r="D17" s="110" t="str">
        <f>+PROC1!D21</f>
        <v>Auxilio de transporte</v>
      </c>
      <c r="E17" s="111">
        <f>+PROC1!E21</f>
        <v>0</v>
      </c>
      <c r="F17" s="111">
        <f>+PROC1!I21</f>
        <v>0</v>
      </c>
    </row>
    <row r="18" spans="4:6">
      <c r="D18" s="110" t="str">
        <f>+PROC1!D22</f>
        <v>Comisiones</v>
      </c>
      <c r="E18" s="111">
        <f>+PROC1!E22</f>
        <v>0</v>
      </c>
      <c r="F18" s="111">
        <f>+PROC1!I22</f>
        <v>0</v>
      </c>
    </row>
    <row r="19" spans="4:6">
      <c r="D19" s="110" t="str">
        <f>+PROC1!D23</f>
        <v>Horas extras</v>
      </c>
      <c r="E19" s="111">
        <f>+PROC1!E23</f>
        <v>0</v>
      </c>
      <c r="F19" s="111">
        <f>+PROC1!I23</f>
        <v>0</v>
      </c>
    </row>
    <row r="20" spans="4:6">
      <c r="D20" s="110" t="str">
        <f>+PROC1!D24</f>
        <v>Recargos nocturnos y dominicales</v>
      </c>
      <c r="E20" s="111">
        <f>+PROC1!E24</f>
        <v>0</v>
      </c>
      <c r="F20" s="111">
        <f>+PROC1!I24</f>
        <v>0</v>
      </c>
    </row>
    <row r="21" spans="4:6">
      <c r="D21" s="110" t="str">
        <f>+PROC1!D25</f>
        <v>Otros auxilios (movilidad, alimentación, etc.)</v>
      </c>
      <c r="E21" s="111">
        <f>+PROC1!E25</f>
        <v>0</v>
      </c>
      <c r="F21" s="111">
        <f>+PROC1!I25</f>
        <v>0</v>
      </c>
    </row>
    <row r="22" spans="4:6">
      <c r="D22" s="110" t="str">
        <f>+PROC1!D26</f>
        <v>Bonificaciones</v>
      </c>
      <c r="E22" s="111">
        <f>+PROC1!E26</f>
        <v>0</v>
      </c>
      <c r="F22" s="111">
        <f>+PROC1!I26</f>
        <v>0</v>
      </c>
    </row>
    <row r="23" spans="4:6" hidden="1">
      <c r="D23" s="110"/>
      <c r="E23" s="111"/>
      <c r="F23" s="111"/>
    </row>
    <row r="24" spans="4:6">
      <c r="D24" s="110" t="str">
        <f>+PROC1!D28</f>
        <v>Viáticos</v>
      </c>
      <c r="E24" s="111">
        <f>+PROC1!E28</f>
        <v>0</v>
      </c>
      <c r="F24" s="111">
        <f>+PROC1!I28</f>
        <v>0</v>
      </c>
    </row>
    <row r="25" spans="4:6">
      <c r="D25" s="110" t="str">
        <f>+PROC1!D29</f>
        <v>Exceso de las 41 UVT por pagos por concepto de alimentación (art 387-1 ET)</v>
      </c>
      <c r="E25" s="111">
        <f>+PROC1!E29</f>
        <v>0</v>
      </c>
      <c r="F25" s="111">
        <f>+PROC1!I29</f>
        <v>0</v>
      </c>
    </row>
    <row r="26" spans="4:6">
      <c r="D26" s="110" t="str">
        <f>+PROC1!D30</f>
        <v>Incapacidades</v>
      </c>
      <c r="E26" s="111">
        <f>+PROC1!E30</f>
        <v>0</v>
      </c>
      <c r="F26" s="111">
        <f>+PROC1!I30</f>
        <v>0</v>
      </c>
    </row>
    <row r="27" spans="4:6">
      <c r="D27" s="110" t="str">
        <f>+PROC1!D31</f>
        <v>Licencia de maternidad</v>
      </c>
      <c r="E27" s="111">
        <f>+PROC1!E31</f>
        <v>0</v>
      </c>
      <c r="F27" s="111">
        <f>+PROC1!I31</f>
        <v>0</v>
      </c>
    </row>
    <row r="28" spans="4:6">
      <c r="D28" s="110" t="str">
        <f>+PROC1!D32</f>
        <v>Cesantías (no se tienen en cuenta para efectos de la retención en la fuente)</v>
      </c>
      <c r="E28" s="111">
        <f>+PROC1!E32</f>
        <v>0</v>
      </c>
      <c r="F28" s="111">
        <f>+PROC1!I32</f>
        <v>0</v>
      </c>
    </row>
    <row r="29" spans="4:6">
      <c r="D29" s="110" t="str">
        <f>+PROC1!D33</f>
        <v>Intereses sobre cesantías  (no se tienen en cuenta para efectos de la retención en la fuente)</v>
      </c>
      <c r="E29" s="111">
        <f>+PROC1!E33</f>
        <v>0</v>
      </c>
      <c r="F29" s="111">
        <f>+PROC1!I33</f>
        <v>0</v>
      </c>
    </row>
    <row r="30" spans="4:6">
      <c r="D30" s="110" t="str">
        <f>+PROC1!D34</f>
        <v>Prima el cálculo se realiza de forma independiente.</v>
      </c>
      <c r="E30" s="111">
        <f>+PROC1!E34</f>
        <v>0</v>
      </c>
      <c r="F30" s="111">
        <f>+PROC1!I34</f>
        <v>0</v>
      </c>
    </row>
    <row r="31" spans="4:6">
      <c r="D31" s="110" t="str">
        <f>+PROC1!D35</f>
        <v>Vacaciones</v>
      </c>
      <c r="E31" s="111">
        <f>+PROC1!E35</f>
        <v>0</v>
      </c>
      <c r="F31" s="111">
        <f>+PROC1!I35</f>
        <v>0</v>
      </c>
    </row>
    <row r="32" spans="4:6">
      <c r="D32" s="110" t="str">
        <f>+PROC1!D36</f>
        <v>Primas extralegales</v>
      </c>
      <c r="E32" s="111">
        <f>+PROC1!E36</f>
        <v>0</v>
      </c>
      <c r="F32" s="111">
        <f>+PROC1!I36</f>
        <v>0</v>
      </c>
    </row>
    <row r="33" spans="2:6">
      <c r="B33" s="112"/>
      <c r="D33" s="110" t="str">
        <f>+PROC1!D37</f>
        <v>Otros ingresos laborales- Bonos, cheques electrónicos, pagos indirectos</v>
      </c>
      <c r="E33" s="111">
        <f>+PROC1!E37</f>
        <v>0</v>
      </c>
      <c r="F33" s="111">
        <f>+PROC1!I37</f>
        <v>0</v>
      </c>
    </row>
    <row r="34" spans="2:6" ht="13">
      <c r="B34" s="112"/>
      <c r="D34" s="113" t="str">
        <f>+PROC1!D38</f>
        <v>Total Ingresos mes (No se incluye la prima)</v>
      </c>
      <c r="E34" s="114">
        <f>+PROC1!E38</f>
        <v>0</v>
      </c>
      <c r="F34" s="114">
        <f>+PROC1!I38</f>
        <v>0</v>
      </c>
    </row>
    <row r="35" spans="2:6" ht="13" thickBot="1">
      <c r="B35" s="112"/>
      <c r="F35" s="94" t="s">
        <v>34</v>
      </c>
    </row>
    <row r="36" spans="2:6" ht="16" thickBot="1">
      <c r="B36" s="107">
        <v>2</v>
      </c>
      <c r="D36" s="119" t="str">
        <f>+PROC1!D40</f>
        <v>Menos ingresos no constitutivos de renta ni ganancia ocasional</v>
      </c>
    </row>
    <row r="37" spans="2:6" ht="15" customHeight="1">
      <c r="B37" s="120"/>
      <c r="D37" s="110" t="str">
        <f>+PROC1!D41</f>
        <v>Aportes obligatorios a Fondos de Pensiones (art. 55 ET)</v>
      </c>
      <c r="E37" s="111">
        <f>+PROC1!E41</f>
        <v>0</v>
      </c>
      <c r="F37" s="111">
        <f>+PROC1!I41</f>
        <v>0</v>
      </c>
    </row>
    <row r="38" spans="2:6" ht="15.5">
      <c r="B38" s="120"/>
      <c r="D38" s="110" t="str">
        <f>+PROC1!D42</f>
        <v>Fondo de Solidaridad Pensional</v>
      </c>
      <c r="E38" s="111">
        <f>+PROC1!E42</f>
        <v>0</v>
      </c>
      <c r="F38" s="111">
        <f>+PROC1!I42</f>
        <v>0</v>
      </c>
    </row>
    <row r="39" spans="2:6" ht="15.5">
      <c r="B39" s="120"/>
      <c r="D39" s="110" t="str">
        <f>+PROC1!D43</f>
        <v>Aportes voluntarios a fondos de pensiones obligatorios (Régimen ahorro individual) (Art. 55 ET)</v>
      </c>
      <c r="E39" s="111">
        <f>+PROC1!E43</f>
        <v>0</v>
      </c>
      <c r="F39" s="111">
        <f>+PROC1!I43</f>
        <v>0</v>
      </c>
    </row>
    <row r="40" spans="2:6" ht="15.5">
      <c r="B40" s="120"/>
      <c r="D40" s="110" t="str">
        <f>+PROC1!D44</f>
        <v>Aportes obligatorios al sistema de salud (art. 56 ET)</v>
      </c>
      <c r="E40" s="111">
        <f>+PROC1!E44</f>
        <v>0</v>
      </c>
      <c r="F40" s="111">
        <f>+PROC1!I44</f>
        <v>0</v>
      </c>
    </row>
    <row r="41" spans="2:6" ht="13">
      <c r="B41" s="112"/>
      <c r="D41" s="113" t="str">
        <f>+PROC1!D45</f>
        <v>Total ingresos no constitutivos de renta ni ganancia ocasional</v>
      </c>
      <c r="E41" s="114">
        <f>+PROC1!E45</f>
        <v>0</v>
      </c>
      <c r="F41" s="121">
        <f>+PROC1!I45</f>
        <v>0</v>
      </c>
    </row>
    <row r="42" spans="2:6">
      <c r="B42" s="112"/>
    </row>
    <row r="43" spans="2:6" ht="13">
      <c r="B43" s="112"/>
      <c r="D43" s="115" t="str">
        <f>+PROC1!D47</f>
        <v>Subtotal  (A)</v>
      </c>
      <c r="E43" s="116"/>
      <c r="F43" s="114">
        <f>+PROC1!I47</f>
        <v>0</v>
      </c>
    </row>
    <row r="44" spans="2:6" ht="13" thickBot="1">
      <c r="B44" s="112"/>
    </row>
    <row r="45" spans="2:6" ht="16" thickBot="1">
      <c r="B45" s="107">
        <v>3</v>
      </c>
      <c r="D45" s="119" t="s">
        <v>47</v>
      </c>
    </row>
    <row r="46" spans="2:6">
      <c r="B46" s="112"/>
      <c r="D46" s="110" t="str">
        <f>+PROC1!D50</f>
        <v>Intereses por prestamos de vivienda (promedio año anterior o los meses correspondientes)</v>
      </c>
      <c r="E46" s="111">
        <f>+PROC1!E50</f>
        <v>0</v>
      </c>
      <c r="F46" s="111">
        <f>+PROC1!I50</f>
        <v>0</v>
      </c>
    </row>
    <row r="47" spans="2:6">
      <c r="B47" s="112"/>
      <c r="D47" s="110" t="str">
        <f>+PROC1!D51</f>
        <v>Pagos por salud prepagada, Plan complementario de salud, o seguros de salud (art 387 ET)- Promedio del año anterior</v>
      </c>
      <c r="E47" s="111">
        <f>+PROC1!E51</f>
        <v>0</v>
      </c>
      <c r="F47" s="111">
        <f>+PROC1!I51</f>
        <v>0</v>
      </c>
    </row>
    <row r="48" spans="2:6">
      <c r="B48" s="112"/>
      <c r="D48" s="110" t="str">
        <f>+PROC1!D52</f>
        <v>Seleccione "SI" si tiene derecho a dependientes (Art 387 ET)</v>
      </c>
      <c r="E48" s="111">
        <f>+PROC1!E52</f>
        <v>0</v>
      </c>
      <c r="F48" s="111">
        <f>+PROC1!I52</f>
        <v>0</v>
      </c>
    </row>
    <row r="49" spans="2:6" ht="13">
      <c r="B49" s="112"/>
      <c r="D49" s="113" t="str">
        <f>+PROC1!D54</f>
        <v>Total deducciones</v>
      </c>
      <c r="E49" s="114" t="s">
        <v>34</v>
      </c>
      <c r="F49" s="114">
        <f>+PROC1!I54</f>
        <v>0</v>
      </c>
    </row>
    <row r="50" spans="2:6" ht="13">
      <c r="B50" s="112"/>
      <c r="D50" s="137"/>
      <c r="E50" s="118"/>
      <c r="F50" s="118"/>
    </row>
    <row r="51" spans="2:6" ht="13">
      <c r="B51" s="112"/>
      <c r="D51" s="137" t="s">
        <v>50</v>
      </c>
      <c r="E51" s="118"/>
      <c r="F51" s="153"/>
    </row>
    <row r="52" spans="2:6" ht="13" hidden="1">
      <c r="B52" s="112"/>
      <c r="D52" s="189"/>
      <c r="E52" s="114"/>
      <c r="F52" s="269">
        <f>+PROC1!I57</f>
        <v>0</v>
      </c>
    </row>
    <row r="53" spans="2:6">
      <c r="B53" s="112"/>
      <c r="D53" s="110" t="str">
        <f>+PROC1!D58</f>
        <v>Aportes a Fondos de Pensiones Voluntarias (art. 126-1 ET)</v>
      </c>
      <c r="E53" s="111">
        <f>+PROC1!E58</f>
        <v>0</v>
      </c>
      <c r="F53" s="270"/>
    </row>
    <row r="54" spans="2:6">
      <c r="B54" s="112"/>
      <c r="D54" s="110" t="str">
        <f>+PROC1!D59</f>
        <v>Aportes con destino a cuentas AFC, AVC (art 126-4 ET)</v>
      </c>
      <c r="E54" s="111">
        <f>+PROC1!E59</f>
        <v>0</v>
      </c>
      <c r="F54" s="271"/>
    </row>
    <row r="55" spans="2:6" ht="13" hidden="1">
      <c r="B55" s="112"/>
      <c r="D55" s="110">
        <f>+PROC1!D60</f>
        <v>0</v>
      </c>
      <c r="E55" s="111">
        <f>+PROC1!E60</f>
        <v>0</v>
      </c>
      <c r="F55" s="114">
        <f>+PROC1!I60</f>
        <v>0</v>
      </c>
    </row>
    <row r="56" spans="2:6" ht="13" hidden="1">
      <c r="B56" s="112"/>
      <c r="D56" s="110" t="str">
        <f>+PROC1!D61</f>
        <v>Indemnizaciones por accidentes de trabajo o enfermedad (art 206 ET Num 1)</v>
      </c>
      <c r="E56" s="111">
        <f>+PROC1!E61</f>
        <v>0</v>
      </c>
      <c r="F56" s="114">
        <f>+PROC1!I61</f>
        <v>0</v>
      </c>
    </row>
    <row r="57" spans="2:6" ht="0.5" hidden="1" customHeight="1">
      <c r="B57" s="112"/>
      <c r="D57" s="110">
        <f>+PROC1!D62</f>
        <v>0</v>
      </c>
      <c r="E57" s="111">
        <f>+PROC1!E62</f>
        <v>0</v>
      </c>
      <c r="F57" s="114">
        <f>+PROC1!I62</f>
        <v>0</v>
      </c>
    </row>
    <row r="58" spans="2:6" ht="13">
      <c r="B58" s="112"/>
      <c r="D58" s="110" t="str">
        <f>+PROC1!D63</f>
        <v>Indemnizaciones proteccion a la maternidad (art 206 ET Num 2)</v>
      </c>
      <c r="E58" s="111">
        <f>+PROC1!E63</f>
        <v>0</v>
      </c>
      <c r="F58" s="114">
        <f>+PROC1!I63</f>
        <v>0</v>
      </c>
    </row>
    <row r="59" spans="2:6" ht="13">
      <c r="B59" s="112"/>
      <c r="D59" s="110" t="str">
        <f>+PROC1!D64</f>
        <v>Gastos de entierro del trabajador (art 206 ET Num 3)</v>
      </c>
      <c r="E59" s="111">
        <f>+PROC1!E64</f>
        <v>0</v>
      </c>
      <c r="F59" s="114">
        <f>+PROC1!I64</f>
        <v>0</v>
      </c>
    </row>
    <row r="60" spans="2:6" ht="13">
      <c r="B60" s="112"/>
      <c r="D60" s="110" t="str">
        <f>+PROC1!D65</f>
        <v>Otras rentas exentas (Art. 206 ET)</v>
      </c>
      <c r="E60" s="111">
        <f>+PROC1!E65</f>
        <v>0</v>
      </c>
      <c r="F60" s="114">
        <f>+PROC1!I65</f>
        <v>0</v>
      </c>
    </row>
    <row r="61" spans="2:6" ht="13">
      <c r="B61" s="112"/>
      <c r="D61" s="113" t="str">
        <f>+PROC1!D66</f>
        <v>Total renta exentas</v>
      </c>
      <c r="E61" s="111"/>
      <c r="F61" s="114">
        <f>+PROC1!I66</f>
        <v>0</v>
      </c>
    </row>
    <row r="62" spans="2:6">
      <c r="B62" s="112"/>
    </row>
    <row r="63" spans="2:6" ht="13">
      <c r="B63" s="112"/>
      <c r="D63" s="115" t="str">
        <f>+PROC1!D68</f>
        <v>Subtotal  (B)</v>
      </c>
      <c r="E63" s="116"/>
      <c r="F63" s="114">
        <f>+PROC1!I68</f>
        <v>0</v>
      </c>
    </row>
    <row r="64" spans="2:6" ht="13">
      <c r="B64" s="112"/>
      <c r="D64" s="115" t="str">
        <f>+PROC1!D69</f>
        <v>Valor de la prima de servicios</v>
      </c>
      <c r="E64" s="116"/>
      <c r="F64" s="114">
        <f>+PROC1!I69</f>
        <v>0</v>
      </c>
    </row>
    <row r="65" spans="2:7" ht="13">
      <c r="B65" s="112"/>
      <c r="D65" s="115" t="str">
        <f>+PROC1!D70</f>
        <v>Subtotal  (B)</v>
      </c>
      <c r="E65" s="116"/>
      <c r="F65" s="114">
        <f>+PROC1!I70</f>
        <v>0</v>
      </c>
    </row>
    <row r="66" spans="2:7" ht="13" thickBot="1">
      <c r="B66" s="112"/>
    </row>
    <row r="67" spans="2:7" ht="16" thickBot="1">
      <c r="B67" s="107">
        <v>4</v>
      </c>
      <c r="D67" s="115" t="str">
        <f>+PROC1!D72</f>
        <v>Menos renta exenta -25%  del subtotal (C)  (Numeral 10 art. 206 ET)</v>
      </c>
      <c r="E67" s="122"/>
      <c r="F67" s="114">
        <f>+PROC1!I72</f>
        <v>0</v>
      </c>
    </row>
    <row r="68" spans="2:7"/>
    <row r="69" spans="2:7" ht="13">
      <c r="D69" s="246" t="str">
        <f>+PROC1!D74</f>
        <v>LIMITE GENERAL DE RENTAS EXENTAS Y DEDUCCIONES   40% DEL INGRESO NETO Y HASTA 5.040 UVT</v>
      </c>
      <c r="E69" s="245"/>
      <c r="F69" s="114">
        <f>+PROC1!I74</f>
        <v>0</v>
      </c>
    </row>
    <row r="70" spans="2:7" ht="11.5" customHeight="1"/>
    <row r="72" spans="2:7" ht="14">
      <c r="D72" s="115" t="str">
        <f>+PROC1!D76</f>
        <v>Base Gravable (Ver Tabla)</v>
      </c>
      <c r="E72" s="116"/>
      <c r="F72" s="114">
        <f>+PROC1!I76</f>
        <v>0</v>
      </c>
      <c r="G72" s="135"/>
    </row>
    <row r="73" spans="2:7"/>
    <row r="74" spans="2:7" ht="14">
      <c r="D74" s="125" t="str">
        <f>+PROC1!D80</f>
        <v>Valor retención en la fuente Art. 383 ET</v>
      </c>
      <c r="E74" s="123"/>
      <c r="F74" s="124">
        <f>+PROC1!I80</f>
        <v>0</v>
      </c>
      <c r="G74" s="127"/>
    </row>
    <row r="75" spans="2:7" ht="14">
      <c r="D75" s="125" t="str">
        <f>+PROC1!D81</f>
        <v>Valor retención en la fuente a practicar por prima de servicios (art. 383 ET)</v>
      </c>
      <c r="E75" s="123"/>
      <c r="F75" s="124">
        <f>+PROC1!I81</f>
        <v>0</v>
      </c>
    </row>
    <row r="76" spans="2:7" ht="14">
      <c r="D76" s="125" t="str">
        <f>+PROC1!D83</f>
        <v>Total retenciones a practicar  en el mes (Art. 383 ET)</v>
      </c>
      <c r="E76" s="123"/>
      <c r="F76" s="124">
        <f>+PROC1!I83</f>
        <v>0</v>
      </c>
      <c r="G76" s="127" t="str">
        <f>+PROC1!J83</f>
        <v xml:space="preserve"> </v>
      </c>
    </row>
    <row r="77" spans="2:7" ht="14">
      <c r="D77" s="117"/>
      <c r="E77" s="129"/>
      <c r="F77" s="130"/>
      <c r="G77" s="127"/>
    </row>
    <row r="78" spans="2:7" ht="14">
      <c r="D78" s="117"/>
      <c r="E78" s="129"/>
      <c r="F78" s="130"/>
      <c r="G78" s="127"/>
    </row>
    <row r="79" spans="2:7" ht="14">
      <c r="D79" s="117"/>
      <c r="E79" s="129"/>
      <c r="F79" s="130"/>
      <c r="G79" s="127"/>
    </row>
    <row r="80" spans="2:7"/>
    <row r="81" spans="4:6" ht="15.5">
      <c r="D81" s="247">
        <f ca="1">+PROC1!J76</f>
        <v>0</v>
      </c>
    </row>
    <row r="82" spans="4:6"/>
    <row r="83" spans="4:6"/>
    <row r="84" spans="4:6">
      <c r="F84" s="94" t="s">
        <v>48</v>
      </c>
    </row>
    <row r="85" spans="4:6">
      <c r="F85" s="94" t="s">
        <v>49</v>
      </c>
    </row>
    <row r="86" spans="4:6"/>
    <row r="87" spans="4:6"/>
    <row r="95" spans="4:6"/>
    <row r="96" spans="4:6"/>
    <row r="97"/>
    <row r="98"/>
    <row r="99"/>
    <row r="100"/>
    <row r="101"/>
    <row r="102"/>
    <row r="103"/>
    <row r="104"/>
    <row r="105"/>
    <row r="106"/>
    <row r="107"/>
    <row r="108"/>
    <row r="109"/>
  </sheetData>
  <sheetProtection algorithmName="SHA-512" hashValue="hNYkwAX71zff8rgrnIe+i8Buk8q+7Rkdwku2ueCqgs/pWTeRR5HcX85hwKP9vaSWDxVVrL11dv1pJ8wllPXLlA==" saltValue="biabbSo3un0xMp4DVfeEjQ==" spinCount="100000" sheet="1" objects="1" scenarios="1"/>
  <mergeCells count="2">
    <mergeCell ref="F52:F54"/>
    <mergeCell ref="E10:F10"/>
  </mergeCells>
  <phoneticPr fontId="2" type="noConversion"/>
  <dataValidations xWindow="951" yWindow="123"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1" xr:uid="{00000000-0002-0000-0100-000000000000}"/>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34 D16:E33" xr:uid="{00000000-0002-0000-0100-000001000000}"/>
    <dataValidation allowBlank="1" showInputMessage="1" showErrorMessage="1" prompt="Digite la totalidad de los ingresos recibidos en el año anterior" sqref="F6" xr:uid="{00000000-0002-0000-0100-000002000000}"/>
    <dataValidation allowBlank="1" showInputMessage="1" showErrorMessage="1" prompt="Digite el valor promedio mensual  correspondinte al descontado al trabajador en el año inmediatamente anterior_x000a_" sqref="E46:E48" xr:uid="{00000000-0002-0000-0100-000003000000}"/>
  </dataValidations>
  <pageMargins left="0.39370078740157483" right="0.39370078740157483" top="0.19685039370078741" bottom="0.19685039370078741" header="0" footer="0"/>
  <pageSetup scale="74" orientation="portrait" r:id="rId1"/>
  <headerFooter alignWithMargins="0">
    <oddFooter>&amp;C&amp;D&amp;T&amp;R&amp;8
&amp;10www.consultorcontable.com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1:I32"/>
  <sheetViews>
    <sheetView showGridLines="0" defaultGridColor="0" colorId="23" zoomScaleNormal="100" workbookViewId="0">
      <selection activeCell="B6" sqref="B6:E6"/>
    </sheetView>
  </sheetViews>
  <sheetFormatPr baseColWidth="10" defaultColWidth="0" defaultRowHeight="12.5" outlineLevelCol="1"/>
  <cols>
    <col min="1" max="1" width="0.81640625" customWidth="1"/>
    <col min="2" max="2" width="14.7265625" bestFit="1" customWidth="1"/>
    <col min="3" max="3" width="16.7265625" customWidth="1"/>
    <col min="4" max="4" width="14.1796875" customWidth="1"/>
    <col min="5" max="5" width="51.54296875" customWidth="1"/>
    <col min="6" max="6" width="13.1796875" hidden="1" customWidth="1" outlineLevel="1"/>
    <col min="7" max="7" width="12.453125" hidden="1" customWidth="1" outlineLevel="1"/>
    <col min="8" max="8" width="9.54296875" hidden="1" customWidth="1" outlineLevel="1"/>
    <col min="9" max="9" width="11.453125" customWidth="1" collapsed="1"/>
  </cols>
  <sheetData>
    <row r="1" spans="2:8" ht="5.25" customHeight="1">
      <c r="E1" s="13"/>
    </row>
    <row r="2" spans="2:8" ht="12" customHeight="1">
      <c r="B2" s="159"/>
      <c r="C2" s="159"/>
      <c r="D2" s="159"/>
      <c r="E2" s="160"/>
    </row>
    <row r="3" spans="2:8" ht="15.75" customHeight="1">
      <c r="B3" s="176"/>
      <c r="C3" s="274" t="s">
        <v>24</v>
      </c>
      <c r="D3" s="274"/>
      <c r="E3" s="274"/>
      <c r="F3" s="21"/>
    </row>
    <row r="4" spans="2:8" ht="17.25" customHeight="1">
      <c r="B4" s="159"/>
      <c r="C4" s="159"/>
      <c r="D4" s="159"/>
      <c r="E4" s="160"/>
    </row>
    <row r="5" spans="2:8" ht="13" thickBot="1"/>
    <row r="6" spans="2:8" ht="14.5" thickBot="1">
      <c r="B6" s="281" t="s">
        <v>75</v>
      </c>
      <c r="C6" s="282"/>
      <c r="D6" s="282"/>
      <c r="E6" s="283"/>
    </row>
    <row r="7" spans="2:8" ht="15" customHeight="1">
      <c r="B7" s="14"/>
      <c r="C7" s="1"/>
      <c r="D7" s="1" t="s">
        <v>36</v>
      </c>
      <c r="E7" s="1"/>
      <c r="G7" t="s">
        <v>4</v>
      </c>
      <c r="H7" s="8">
        <f>+PROC1!I76/PROC1!I14</f>
        <v>0</v>
      </c>
    </row>
    <row r="8" spans="2:8" ht="10.9" customHeight="1" thickBot="1">
      <c r="B8" s="1"/>
      <c r="C8" s="1"/>
      <c r="D8" s="1"/>
      <c r="E8" s="1"/>
    </row>
    <row r="9" spans="2:8" ht="14.25" customHeight="1">
      <c r="B9" s="279" t="s">
        <v>18</v>
      </c>
      <c r="C9" s="280"/>
      <c r="D9" s="286" t="s">
        <v>21</v>
      </c>
      <c r="E9" s="284" t="s">
        <v>22</v>
      </c>
      <c r="F9" s="277" t="s">
        <v>3</v>
      </c>
      <c r="G9" s="275" t="s">
        <v>23</v>
      </c>
      <c r="H9" s="275" t="s">
        <v>4</v>
      </c>
    </row>
    <row r="10" spans="2:8" ht="15" customHeight="1" thickBot="1">
      <c r="B10" s="244" t="s">
        <v>19</v>
      </c>
      <c r="C10" s="244" t="s">
        <v>20</v>
      </c>
      <c r="D10" s="287"/>
      <c r="E10" s="285"/>
      <c r="F10" s="278"/>
      <c r="G10" s="276"/>
      <c r="H10" s="276"/>
    </row>
    <row r="11" spans="2:8" ht="23.25" customHeight="1" thickBot="1">
      <c r="B11" s="15" t="s">
        <v>0</v>
      </c>
      <c r="C11" s="15">
        <v>95</v>
      </c>
      <c r="D11" s="16">
        <v>0</v>
      </c>
      <c r="E11" s="241">
        <v>0</v>
      </c>
      <c r="F11" s="22"/>
      <c r="G11" s="2"/>
      <c r="H11" s="5"/>
    </row>
    <row r="12" spans="2:8" ht="28.5" thickBot="1">
      <c r="B12" s="17">
        <v>95</v>
      </c>
      <c r="C12" s="17">
        <v>150</v>
      </c>
      <c r="D12" s="18">
        <v>0.19</v>
      </c>
      <c r="E12" s="242" t="s">
        <v>84</v>
      </c>
      <c r="F12" s="22"/>
      <c r="G12" s="2" t="b">
        <f t="shared" ref="G12:G17" si="0">AND($H$7&gt;=B12,$H$7&lt;C12)</f>
        <v>0</v>
      </c>
      <c r="H12" s="5">
        <f>IF(G12=TRUE,($H$7-B12)*D12,0)</f>
        <v>0</v>
      </c>
    </row>
    <row r="13" spans="2:8" ht="28.5" thickBot="1">
      <c r="B13" s="17">
        <v>150</v>
      </c>
      <c r="C13" s="17">
        <v>360</v>
      </c>
      <c r="D13" s="18">
        <v>0.28000000000000003</v>
      </c>
      <c r="E13" s="242" t="s">
        <v>85</v>
      </c>
      <c r="F13" s="22">
        <v>10</v>
      </c>
      <c r="G13" s="2" t="b">
        <f t="shared" si="0"/>
        <v>0</v>
      </c>
      <c r="H13" s="5">
        <f>IF(G13=TRUE,($H$7-B13)*D13+F13,0)</f>
        <v>0</v>
      </c>
    </row>
    <row r="14" spans="2:8" ht="28.5" thickBot="1">
      <c r="B14" s="19">
        <v>360</v>
      </c>
      <c r="C14" s="19">
        <v>640</v>
      </c>
      <c r="D14" s="20">
        <v>0.33</v>
      </c>
      <c r="E14" s="242" t="s">
        <v>86</v>
      </c>
      <c r="F14" s="23">
        <v>69</v>
      </c>
      <c r="G14" s="3" t="b">
        <f t="shared" si="0"/>
        <v>0</v>
      </c>
      <c r="H14" s="6">
        <f>IF(G14=TRUE,($H$7-B14)*D14+F14,0)</f>
        <v>0</v>
      </c>
    </row>
    <row r="15" spans="2:8" ht="28.5" thickBot="1">
      <c r="B15" s="19">
        <v>640</v>
      </c>
      <c r="C15" s="19">
        <v>945</v>
      </c>
      <c r="D15" s="20">
        <v>0.35</v>
      </c>
      <c r="E15" s="242" t="s">
        <v>87</v>
      </c>
      <c r="F15" s="23">
        <v>162</v>
      </c>
      <c r="G15" s="3" t="b">
        <f t="shared" si="0"/>
        <v>0</v>
      </c>
      <c r="H15" s="6">
        <f>IF(G15=TRUE,($H$7-B15)*D15+F15,0)</f>
        <v>0</v>
      </c>
    </row>
    <row r="16" spans="2:8" ht="28.5" thickBot="1">
      <c r="B16" s="19">
        <v>945</v>
      </c>
      <c r="C16" s="19">
        <v>2300</v>
      </c>
      <c r="D16" s="20">
        <v>0.37</v>
      </c>
      <c r="E16" s="242" t="s">
        <v>88</v>
      </c>
      <c r="F16" s="23">
        <v>268</v>
      </c>
      <c r="G16" s="3" t="b">
        <f t="shared" si="0"/>
        <v>0</v>
      </c>
      <c r="H16" s="6">
        <f>IF(G16=TRUE,($H$7-B16)*D16+F16,0)</f>
        <v>0</v>
      </c>
    </row>
    <row r="17" spans="2:8" ht="28.5" thickBot="1">
      <c r="B17" s="17">
        <v>2300</v>
      </c>
      <c r="C17" s="17" t="s">
        <v>1</v>
      </c>
      <c r="D17" s="18">
        <v>0.39</v>
      </c>
      <c r="E17" s="243" t="s">
        <v>89</v>
      </c>
      <c r="F17" s="23">
        <v>770</v>
      </c>
      <c r="G17" s="3" t="b">
        <f t="shared" si="0"/>
        <v>0</v>
      </c>
      <c r="H17" s="6">
        <f>IF(G17=TRUE,($H$7-B17)*D17+F17,0)</f>
        <v>0</v>
      </c>
    </row>
    <row r="18" spans="2:8" ht="13" thickBot="1">
      <c r="H18" s="7">
        <f>SUM(H12:H17)</f>
        <v>0</v>
      </c>
    </row>
    <row r="19" spans="2:8">
      <c r="B19" s="24" t="s">
        <v>6</v>
      </c>
      <c r="C19" s="10"/>
    </row>
    <row r="20" spans="2:8">
      <c r="B20" s="10"/>
      <c r="C20" s="10"/>
      <c r="F20" s="138">
        <f>+H7</f>
        <v>0</v>
      </c>
    </row>
    <row r="21" spans="2:8">
      <c r="B21" s="10"/>
      <c r="C21" s="10"/>
      <c r="F21">
        <f>+G21</f>
        <v>145</v>
      </c>
      <c r="G21">
        <v>145</v>
      </c>
    </row>
    <row r="22" spans="2:8">
      <c r="F22" s="4">
        <f>+F20-F21</f>
        <v>-145</v>
      </c>
    </row>
    <row r="23" spans="2:8">
      <c r="F23" s="139">
        <f>+F22*G23</f>
        <v>-40.6</v>
      </c>
      <c r="G23" s="140">
        <v>0.28000000000000003</v>
      </c>
    </row>
    <row r="24" spans="2:8">
      <c r="F24" s="141">
        <f>+F23+G24</f>
        <v>-29.6</v>
      </c>
      <c r="G24">
        <v>11</v>
      </c>
    </row>
    <row r="27" spans="2:8">
      <c r="F27" s="142">
        <f>+H18-F24</f>
        <v>29.6</v>
      </c>
    </row>
    <row r="28" spans="2:8">
      <c r="D28" s="11"/>
    </row>
    <row r="32" spans="2:8">
      <c r="C32" s="12"/>
      <c r="D32" s="9"/>
    </row>
  </sheetData>
  <sheetProtection algorithmName="SHA-512" hashValue="TsPI3c5KTRUAPC0Vqc1MBKdjNElnvXdSBHUf2pqRfcoCmfVTYEXhdqYEynwEVqm3q4NqfCLhBhBAfnrxPgF3yQ==" saltValue="O37fCgyj5PoZsY5shfr+wg==" spinCount="100000" sheet="1" objects="1" scenarios="1"/>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I36"/>
  <sheetViews>
    <sheetView showGridLines="0" defaultGridColor="0" colorId="23" zoomScaleNormal="100" workbookViewId="0">
      <selection activeCell="E9" sqref="E9:E10"/>
    </sheetView>
  </sheetViews>
  <sheetFormatPr baseColWidth="10" defaultColWidth="0" defaultRowHeight="12.5" outlineLevelCol="1"/>
  <cols>
    <col min="1" max="1" width="0.81640625" customWidth="1"/>
    <col min="2" max="2" width="15.7265625" customWidth="1"/>
    <col min="3" max="3" width="16.7265625" customWidth="1"/>
    <col min="4" max="4" width="14.1796875" customWidth="1"/>
    <col min="5" max="5" width="51.7265625" customWidth="1"/>
    <col min="6" max="6" width="13.7265625" hidden="1" customWidth="1" outlineLevel="1"/>
    <col min="7" max="7" width="14.1796875" hidden="1" customWidth="1" outlineLevel="1"/>
    <col min="8" max="8" width="15" hidden="1" customWidth="1" outlineLevel="1"/>
    <col min="9" max="9" width="11.453125" customWidth="1" collapsed="1"/>
  </cols>
  <sheetData>
    <row r="1" spans="2:8" ht="5.25" customHeight="1">
      <c r="E1" s="13"/>
    </row>
    <row r="2" spans="2:8" ht="12" customHeight="1">
      <c r="B2" s="159"/>
      <c r="C2" s="159"/>
      <c r="D2" s="159"/>
      <c r="E2" s="160"/>
    </row>
    <row r="3" spans="2:8" ht="15.75" customHeight="1">
      <c r="B3" s="176"/>
      <c r="C3" s="274" t="s">
        <v>24</v>
      </c>
      <c r="D3" s="274"/>
      <c r="E3" s="274"/>
      <c r="F3" s="21"/>
    </row>
    <row r="4" spans="2:8" ht="17.25" customHeight="1">
      <c r="B4" s="159"/>
      <c r="C4" s="159"/>
      <c r="D4" s="159"/>
      <c r="E4" s="160"/>
    </row>
    <row r="5" spans="2:8" ht="13" thickBot="1"/>
    <row r="6" spans="2:8" ht="14.5" thickBot="1">
      <c r="B6" s="289" t="s">
        <v>115</v>
      </c>
      <c r="C6" s="290"/>
      <c r="D6" s="290"/>
      <c r="E6" s="291"/>
    </row>
    <row r="7" spans="2:8" ht="15" customHeight="1">
      <c r="B7" s="14"/>
      <c r="C7" s="1"/>
      <c r="D7" s="224" t="s">
        <v>35</v>
      </c>
      <c r="E7" s="1"/>
      <c r="G7" t="s">
        <v>4</v>
      </c>
      <c r="H7" s="8">
        <f>+D25/PROC1!I14</f>
        <v>0</v>
      </c>
    </row>
    <row r="8" spans="2:8" ht="10.9" customHeight="1" thickBot="1">
      <c r="B8" s="1"/>
      <c r="C8" s="1"/>
      <c r="D8" s="1"/>
      <c r="E8" s="1"/>
    </row>
    <row r="9" spans="2:8" ht="14.25" customHeight="1">
      <c r="B9" s="292" t="s">
        <v>18</v>
      </c>
      <c r="C9" s="292"/>
      <c r="D9" s="293" t="s">
        <v>21</v>
      </c>
      <c r="E9" s="292" t="s">
        <v>22</v>
      </c>
      <c r="F9" s="277" t="s">
        <v>3</v>
      </c>
      <c r="G9" s="275" t="s">
        <v>23</v>
      </c>
      <c r="H9" s="275" t="s">
        <v>4</v>
      </c>
    </row>
    <row r="10" spans="2:8" ht="15" customHeight="1">
      <c r="B10" s="223" t="s">
        <v>19</v>
      </c>
      <c r="C10" s="223" t="s">
        <v>20</v>
      </c>
      <c r="D10" s="293"/>
      <c r="E10" s="292"/>
      <c r="F10" s="294"/>
      <c r="G10" s="288"/>
      <c r="H10" s="288"/>
    </row>
    <row r="11" spans="2:8" ht="23.25" customHeight="1">
      <c r="B11" s="17" t="s">
        <v>0</v>
      </c>
      <c r="C11" s="17">
        <v>95</v>
      </c>
      <c r="D11" s="18">
        <v>0</v>
      </c>
      <c r="E11" s="149">
        <v>0</v>
      </c>
      <c r="F11" s="221"/>
      <c r="G11" s="150"/>
      <c r="H11" s="151"/>
    </row>
    <row r="12" spans="2:8" ht="28">
      <c r="B12" s="17">
        <v>95</v>
      </c>
      <c r="C12" s="17">
        <v>150</v>
      </c>
      <c r="D12" s="18">
        <v>0.19</v>
      </c>
      <c r="E12" s="222" t="s">
        <v>84</v>
      </c>
      <c r="F12" s="221"/>
      <c r="G12" s="150" t="b">
        <f t="shared" ref="G12:G17" si="0">AND($H$7&gt;=B12,$H$7&lt;C12)</f>
        <v>0</v>
      </c>
      <c r="H12" s="151">
        <f>IF(G12=TRUE,($H$7-B12)*D12,0)</f>
        <v>0</v>
      </c>
    </row>
    <row r="13" spans="2:8" ht="28">
      <c r="B13" s="17">
        <v>150</v>
      </c>
      <c r="C13" s="17">
        <v>360</v>
      </c>
      <c r="D13" s="18">
        <v>0.28000000000000003</v>
      </c>
      <c r="E13" s="222" t="s">
        <v>85</v>
      </c>
      <c r="F13" s="221">
        <v>10</v>
      </c>
      <c r="G13" s="150" t="b">
        <f t="shared" si="0"/>
        <v>0</v>
      </c>
      <c r="H13" s="151">
        <f>IF(G13=TRUE,($H$7-B13)*D13+F13,0)</f>
        <v>0</v>
      </c>
    </row>
    <row r="14" spans="2:8" ht="28">
      <c r="B14" s="17">
        <v>360</v>
      </c>
      <c r="C14" s="17">
        <v>640</v>
      </c>
      <c r="D14" s="18">
        <v>0.33</v>
      </c>
      <c r="E14" s="222" t="s">
        <v>86</v>
      </c>
      <c r="F14" s="221">
        <v>69</v>
      </c>
      <c r="G14" s="150" t="b">
        <f t="shared" si="0"/>
        <v>0</v>
      </c>
      <c r="H14" s="151">
        <f>IF(G14=TRUE,($H$7-B14)*D14+F14,0)</f>
        <v>0</v>
      </c>
    </row>
    <row r="15" spans="2:8" ht="28">
      <c r="B15" s="17">
        <v>640</v>
      </c>
      <c r="C15" s="17">
        <v>945</v>
      </c>
      <c r="D15" s="18">
        <v>0.35</v>
      </c>
      <c r="E15" s="222" t="s">
        <v>87</v>
      </c>
      <c r="F15" s="221">
        <v>162</v>
      </c>
      <c r="G15" s="150" t="b">
        <f t="shared" si="0"/>
        <v>0</v>
      </c>
      <c r="H15" s="151">
        <f>IF(G15=TRUE,($H$7-B15)*D15+F15,0)</f>
        <v>0</v>
      </c>
    </row>
    <row r="16" spans="2:8" ht="28">
      <c r="B16" s="17">
        <v>945</v>
      </c>
      <c r="C16" s="17">
        <v>2300</v>
      </c>
      <c r="D16" s="18">
        <v>0.37</v>
      </c>
      <c r="E16" s="222" t="s">
        <v>88</v>
      </c>
      <c r="F16" s="221">
        <v>268</v>
      </c>
      <c r="G16" s="150" t="b">
        <f t="shared" si="0"/>
        <v>0</v>
      </c>
      <c r="H16" s="151">
        <f>IF(G16=TRUE,($H$7-B16)*D16+F16,0)</f>
        <v>0</v>
      </c>
    </row>
    <row r="17" spans="2:8" ht="28">
      <c r="B17" s="17">
        <v>2300</v>
      </c>
      <c r="C17" s="17" t="s">
        <v>1</v>
      </c>
      <c r="D17" s="18">
        <v>0.39</v>
      </c>
      <c r="E17" s="222" t="s">
        <v>89</v>
      </c>
      <c r="F17" s="221">
        <v>770</v>
      </c>
      <c r="G17" s="150" t="b">
        <f t="shared" si="0"/>
        <v>0</v>
      </c>
      <c r="H17" s="151">
        <f>IF(G17=TRUE,($H$7-B17)*D17+F17,0)</f>
        <v>0</v>
      </c>
    </row>
    <row r="18" spans="2:8" ht="13" thickBot="1">
      <c r="H18" s="148">
        <f>SUM(H12:H17)</f>
        <v>0</v>
      </c>
    </row>
    <row r="19" spans="2:8">
      <c r="B19" s="24" t="s">
        <v>6</v>
      </c>
      <c r="C19" s="10"/>
    </row>
    <row r="20" spans="2:8">
      <c r="B20" s="10"/>
      <c r="C20" s="10"/>
    </row>
    <row r="21" spans="2:8">
      <c r="B21" s="10"/>
      <c r="C21" s="10"/>
    </row>
    <row r="22" spans="2:8">
      <c r="F22" s="4"/>
    </row>
    <row r="23" spans="2:8">
      <c r="B23" t="s">
        <v>37</v>
      </c>
      <c r="D23" s="9">
        <f>+PROC1!E34</f>
        <v>0</v>
      </c>
    </row>
    <row r="24" spans="2:8">
      <c r="B24" t="s">
        <v>38</v>
      </c>
      <c r="D24" s="9">
        <f>+IF((C32&gt;C28),(C28-C30),(C31))</f>
        <v>0</v>
      </c>
    </row>
    <row r="25" spans="2:8" ht="13">
      <c r="B25" s="26" t="s">
        <v>40</v>
      </c>
      <c r="C25" s="26"/>
      <c r="D25" s="27">
        <f>+D23-D24</f>
        <v>0</v>
      </c>
    </row>
    <row r="28" spans="2:8">
      <c r="B28" t="s">
        <v>39</v>
      </c>
      <c r="C28" s="9">
        <f>240*PROC1!I14</f>
        <v>9120960</v>
      </c>
    </row>
    <row r="30" spans="2:8">
      <c r="B30" s="25" t="s">
        <v>78</v>
      </c>
      <c r="C30" s="9">
        <f>+PROC1!I72</f>
        <v>0</v>
      </c>
    </row>
    <row r="31" spans="2:8">
      <c r="B31" s="25" t="s">
        <v>58</v>
      </c>
      <c r="C31" s="11">
        <f>+D23*0.25</f>
        <v>0</v>
      </c>
    </row>
    <row r="32" spans="2:8" ht="13">
      <c r="B32" s="26" t="s">
        <v>59</v>
      </c>
      <c r="C32" s="128">
        <f>SUM(C30:C31)</f>
        <v>0</v>
      </c>
      <c r="D32" s="11"/>
    </row>
    <row r="36" spans="3:4">
      <c r="C36" s="12"/>
      <c r="D36" s="9"/>
    </row>
  </sheetData>
  <sheetProtection algorithmName="SHA-512" hashValue="a0tT+v5gpMBHyVvvohnkHZ9fSQ154xEg+DZZGxLccgaLgmG3OGDlIZxSRAUyzso6MUAFns2HEMFQBcBpReC9Sg==" saltValue="ZbHE0yz7KmKkCMuQhxr9Fw==" spinCount="100000" sheet="1" objects="1" scenarios="1"/>
  <mergeCells count="8">
    <mergeCell ref="G9:G10"/>
    <mergeCell ref="H9:H10"/>
    <mergeCell ref="C3:E3"/>
    <mergeCell ref="B6:E6"/>
    <mergeCell ref="B9:C9"/>
    <mergeCell ref="D9:D10"/>
    <mergeCell ref="E9:E10"/>
    <mergeCell ref="F9:F10"/>
  </mergeCells>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
  <sheetViews>
    <sheetView workbookViewId="0">
      <selection activeCell="F12" sqref="F12"/>
    </sheetView>
  </sheetViews>
  <sheetFormatPr baseColWidth="10" defaultColWidth="11.54296875" defaultRowHeight="12.5"/>
  <cols>
    <col min="1" max="16384" width="11.54296875" style="25"/>
  </cols>
  <sheetData/>
  <sheetProtection algorithmName="SHA-512" hashValue="j7ALWsgE/xBuvdrXtEKKLmU2c2C39wssLMZZ0kUTC5TldCN+XBoHnfbccgI1BYN7mDCsxPkbMr4XKQenaeo/Cg==" saltValue="A+UpdypOZA83xcmTk4jYyw=="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PROC1</vt:lpstr>
      <vt:lpstr>PRINT1</vt:lpstr>
      <vt:lpstr>TABLA</vt:lpstr>
      <vt:lpstr>Tabprima</vt:lpstr>
      <vt:lpstr>clave</vt:lpstr>
    </vt:vector>
  </TitlesOfParts>
  <Company>W&amp;D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William Dussan</cp:lastModifiedBy>
  <cp:lastPrinted>2021-11-15T23:35:24Z</cp:lastPrinted>
  <dcterms:created xsi:type="dcterms:W3CDTF">2008-06-25T16:51:19Z</dcterms:created>
  <dcterms:modified xsi:type="dcterms:W3CDTF">2021-11-18T00:40:33Z</dcterms:modified>
</cp:coreProperties>
</file>