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5" windowHeight="10425" tabRatio="754" firstSheet="6" activeTab="6"/>
  </bookViews>
  <sheets>
    <sheet name="TARIFAS IMPUESTO" sheetId="1" state="hidden" r:id="rId1"/>
    <sheet name="Consolidado Impuesto" sheetId="2" state="hidden" r:id="rId2"/>
    <sheet name="TARIFAS ANTICIPO" sheetId="3" state="hidden" r:id="rId3"/>
    <sheet name="Consolidado anticipo" sheetId="4" state="hidden" r:id="rId4"/>
    <sheet name="TARIFAS ICA" sheetId="5" state="hidden" r:id="rId5"/>
    <sheet name="TARIFAS IMPUESTO (2)" sheetId="6" state="hidden" r:id="rId6"/>
    <sheet name="Simulador" sheetId="7" r:id="rId7"/>
    <sheet name="Grupo de actividades" sheetId="8" r:id="rId8"/>
  </sheets>
  <definedNames>
    <definedName name="_xlfn.IFERROR" hidden="1">#NAME?</definedName>
  </definedNames>
  <calcPr fullCalcOnLoad="1"/>
</workbook>
</file>

<file path=xl/comments7.xml><?xml version="1.0" encoding="utf-8"?>
<comments xmlns="http://schemas.openxmlformats.org/spreadsheetml/2006/main">
  <authors>
    <author>William Dussan</author>
  </authors>
  <commentList>
    <comment ref="D12" authorId="0">
      <text>
        <r>
          <rPr>
            <b/>
            <sz val="9"/>
            <rFont val="Tahoma"/>
            <family val="2"/>
          </rPr>
          <t>Este simulador está diseñado para trabajar el análisis de dos formas: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1. Usando un margen:</t>
        </r>
        <r>
          <rPr>
            <sz val="9"/>
            <rFont val="Tahoma"/>
            <family val="2"/>
          </rPr>
          <t xml:space="preserve"> Para esto digite el ingreso anual, y el % de margen sobre ingresos que normalmente maneja año tras año,  y dele clic al boton con el simbolo $. (Lo que hace el aplicativo es multiplicar el ingreso por el % de margen para determinar una renta líquida para determinar cuanto pagaría por régimen ordinario en renta.
</t>
        </r>
        <r>
          <rPr>
            <b/>
            <sz val="9"/>
            <rFont val="Tahoma"/>
            <family val="2"/>
          </rPr>
          <t>2. Digitando directamente la renta líquid</t>
        </r>
        <r>
          <rPr>
            <sz val="9"/>
            <rFont val="Tahoma"/>
            <family val="2"/>
          </rPr>
          <t>a: Para esto solo basta con digitar el valor de la renta líquida y ya.. podría en este caso dejar las celdas de ingresos anuales y la de Margen % en blanco.. 
Si luego de usar esta ultima alternativo decide manejar nuevamente marge, digite de nuevo los ingresos el % de margen y de clic en el boton con el simbolo $, esto lo que hace es nuevamente formular la celda de a renta líquida.</t>
        </r>
      </text>
    </comment>
  </commentList>
</comments>
</file>

<file path=xl/sharedStrings.xml><?xml version="1.0" encoding="utf-8"?>
<sst xmlns="http://schemas.openxmlformats.org/spreadsheetml/2006/main" count="207" uniqueCount="80">
  <si>
    <t>TARIFAS</t>
  </si>
  <si>
    <t xml:space="preserve">1. Actividades comerciales al por mayor y detal, incluidas las tiendas de barrio, mini-mercados y micro-mercados; servicios técnicos y mecánicos en los que predomina el factor material sobre el intelectual, incluidos las peluquerías, los electricistas, los albañiles, los servicios de construcción y los talleres mecánicos de vehículos y electrodomésticos; actividades industriales, incluidas las de agro-industria, mini-industria y micro-industria; y las demás actividades no incluidas en los siguientes numerales: </t>
  </si>
  <si>
    <t>REGIMEN SIMPLE DE TRIBUTACIÓN</t>
  </si>
  <si>
    <t>INGRESOS BRUTOS ANUALES</t>
  </si>
  <si>
    <t>IGUAL O SUPERIOR</t>
  </si>
  <si>
    <t>INFERIOR</t>
  </si>
  <si>
    <t>UVT</t>
  </si>
  <si>
    <t>$</t>
  </si>
  <si>
    <t>UVT 2019</t>
  </si>
  <si>
    <t>TARIFA</t>
  </si>
  <si>
    <t>%</t>
  </si>
  <si>
    <t>2. Servicios profesionales, de consultoría y científicos en los que predomine el factor intelectual sobre el material, incluidos los servicios de profesiones liberales:</t>
  </si>
  <si>
    <t>3. Servicio de restaurante, incluidos los servicios de cafetería, bar y “catering”:</t>
  </si>
  <si>
    <t>Tarifa por Mil</t>
  </si>
  <si>
    <t>BOGOTÁ</t>
  </si>
  <si>
    <t>INGRESOS</t>
  </si>
  <si>
    <t>RENTA LIQUIDA</t>
  </si>
  <si>
    <t>IMPUESTO SIMPLE</t>
  </si>
  <si>
    <t>TOTAL IMPUESTO</t>
  </si>
  <si>
    <t>ICA + AVISOS Y T</t>
  </si>
  <si>
    <t>Margen neto</t>
  </si>
  <si>
    <t>Margen real</t>
  </si>
  <si>
    <t>IMPUESTO RENTA</t>
  </si>
  <si>
    <t>Diferencia</t>
  </si>
  <si>
    <t>Servicios profesinales</t>
  </si>
  <si>
    <t>Restaurantes, bar</t>
  </si>
  <si>
    <t>IPOCONSUMO</t>
  </si>
  <si>
    <t>1. Tiendas pequeñas, mini-mercados y micro-mercados y peluquerías</t>
  </si>
  <si>
    <t>Ingresos Brutos anuales</t>
  </si>
  <si>
    <t>Inferior (UVT)</t>
  </si>
  <si>
    <t>Inferior ($)</t>
  </si>
  <si>
    <t>Tarifa simple consolidada</t>
  </si>
  <si>
    <t>2. Actividades comerciales al por mayor y detal; servicios técnicos y mecánicos en los que predomina el factor material sobre el intelectual, los electricistas, los albañiles, los servicios de construcción y los talleres mecánicos de vehículos y electrodomésticos; actividades industriales, incluidas las de agro-industria, mini- industria y micro-industria; actividades de telecomunicaciones y las demás actividades no incluidas en los siguientes numerales:</t>
  </si>
  <si>
    <t>3. Servicios profesionales, de consultoría y científicos en los que predomine el factor intelectual sobre el material, incluidos los servicios de profesiones liberales:</t>
  </si>
  <si>
    <t>4. Actividades de expendio de comidas y bebidas, y actividades de transporte.</t>
  </si>
  <si>
    <t>Igual o superior (UVT)</t>
  </si>
  <si>
    <t>Igual o superior ($)</t>
  </si>
  <si>
    <t>Tarifa actividades 1</t>
  </si>
  <si>
    <t>Tarifa actividades 2</t>
  </si>
  <si>
    <t>Tarifa actividades 3</t>
  </si>
  <si>
    <t>Tarifa actividades 4</t>
  </si>
  <si>
    <t>Tarifa impuesto al consumo</t>
  </si>
  <si>
    <t>Total tarifa simple consolidada</t>
  </si>
  <si>
    <t>Tarifa simple consolidada bimestral</t>
  </si>
  <si>
    <t>Ingresos Brutos Bimestrales</t>
  </si>
  <si>
    <t>Ingresos Brutos bimestrales</t>
  </si>
  <si>
    <t xml:space="preserve"> </t>
  </si>
  <si>
    <t>Ingresos anuales</t>
  </si>
  <si>
    <t>Margen  %</t>
  </si>
  <si>
    <t>T1</t>
  </si>
  <si>
    <t>T2</t>
  </si>
  <si>
    <t>T3</t>
  </si>
  <si>
    <t>T4</t>
  </si>
  <si>
    <t>Valor UVT</t>
  </si>
  <si>
    <t>Grupo de Actividades</t>
  </si>
  <si>
    <t>SIMULADOR IMPUESTO UNIFICADO BAJO EL RÉGIMEN SIMPLE DE TRIBUTACIÓN - SIMPLE</t>
  </si>
  <si>
    <t>Categoria</t>
  </si>
  <si>
    <t xml:space="preserve">3. Servicios profesionales, de consultoría y científicos en los que predomine el factor intelectual </t>
  </si>
  <si>
    <t>Renta líquida</t>
  </si>
  <si>
    <t>Impuesto renta</t>
  </si>
  <si>
    <t>TOTAL IMPUESTO REGIMEN ORDINARIO</t>
  </si>
  <si>
    <t>Diseño: William Dussán Salazar</t>
  </si>
  <si>
    <t>www.consultorcontable.com</t>
  </si>
  <si>
    <t>ICA (x mil)</t>
  </si>
  <si>
    <t>Avisos y tableros</t>
  </si>
  <si>
    <t>Margen utilizado</t>
  </si>
  <si>
    <t>Descuento tributario Ap. Pensión</t>
  </si>
  <si>
    <t>Pago de salarios</t>
  </si>
  <si>
    <t>Aporte pensión por parte del empleador</t>
  </si>
  <si>
    <t>Ingresos recaudados por medios electrónicos</t>
  </si>
  <si>
    <t>Descuento tributario TC, TD ..</t>
  </si>
  <si>
    <t>Descuento tributario 0.5% del ingreso</t>
  </si>
  <si>
    <t xml:space="preserve">Impuesto Simple </t>
  </si>
  <si>
    <t>*Para la categoría N. 4 se debe sumar el 8% de Impuesto al consumo.. Para el ejercicio no se tiene en cuenta dado que en cualquiera de los dos regimenes se debe pagar.</t>
  </si>
  <si>
    <t xml:space="preserve">UVT </t>
  </si>
  <si>
    <t>ACTUALIZADO CON LA LEY 2155 DE2021</t>
  </si>
  <si>
    <t>TOTAL IMPUESTO R. SIMPLE</t>
  </si>
  <si>
    <t>de lo contrario digite la renta líquida directamente</t>
  </si>
  <si>
    <t>El botón $ es para  analizar el caso usando margen,</t>
  </si>
  <si>
    <t>DESCUENTOS TRIBUTARIOS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</si>
</sst>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91">
    <font>
      <sz val="8"/>
      <color theme="1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sz val="11"/>
      <color indexed="8"/>
      <name val="Arial"/>
      <family val="2"/>
    </font>
    <font>
      <sz val="7"/>
      <color indexed="8"/>
      <name val="Tahoma"/>
      <family val="2"/>
    </font>
    <font>
      <b/>
      <sz val="8"/>
      <color indexed="10"/>
      <name val="Tahoma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4"/>
      <color indexed="9"/>
      <name val="Arial"/>
      <family val="2"/>
    </font>
    <font>
      <b/>
      <sz val="9"/>
      <color indexed="8"/>
      <name val="Arial"/>
      <family val="2"/>
    </font>
    <font>
      <sz val="10"/>
      <color indexed="62"/>
      <name val="Tahoma"/>
      <family val="2"/>
    </font>
    <font>
      <sz val="12"/>
      <color indexed="56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u val="single"/>
      <sz val="8"/>
      <color indexed="30"/>
      <name val="Tahoma"/>
      <family val="2"/>
    </font>
    <font>
      <sz val="11"/>
      <color indexed="10"/>
      <name val="Arial"/>
      <family val="2"/>
    </font>
    <font>
      <sz val="10"/>
      <color indexed="10"/>
      <name val="Tahoma"/>
      <family val="2"/>
    </font>
    <font>
      <b/>
      <sz val="11"/>
      <color indexed="1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ahoma"/>
      <family val="2"/>
    </font>
    <font>
      <u val="single"/>
      <sz val="8"/>
      <color indexed="25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Tahoma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Arial"/>
      <family val="2"/>
    </font>
    <font>
      <sz val="7"/>
      <color theme="1"/>
      <name val="Tahoma"/>
      <family val="2"/>
    </font>
    <font>
      <sz val="8"/>
      <color rgb="FFFF0000"/>
      <name val="Tahoma"/>
      <family val="2"/>
    </font>
    <font>
      <sz val="8"/>
      <color theme="0"/>
      <name val="Tahoma"/>
      <family val="2"/>
    </font>
    <font>
      <b/>
      <sz val="8"/>
      <color rgb="FFFF0000"/>
      <name val="Tahoma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Tahoma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Tahoma"/>
      <family val="2"/>
    </font>
    <font>
      <b/>
      <sz val="11"/>
      <color rgb="FF00B050"/>
      <name val="Arial"/>
      <family val="2"/>
    </font>
    <font>
      <sz val="11"/>
      <color rgb="FFFF0000"/>
      <name val="Tahoma"/>
      <family val="2"/>
    </font>
    <font>
      <b/>
      <sz val="14"/>
      <color theme="1"/>
      <name val="Tahoma"/>
      <family val="2"/>
    </font>
    <font>
      <sz val="14"/>
      <color theme="0"/>
      <name val="Arial"/>
      <family val="2"/>
    </font>
    <font>
      <sz val="10"/>
      <color theme="8" tint="-0.24997000396251678"/>
      <name val="Tahoma"/>
      <family val="2"/>
    </font>
    <font>
      <sz val="12"/>
      <color rgb="FF002060"/>
      <name val="Tahoma"/>
      <family val="2"/>
    </font>
    <font>
      <b/>
      <sz val="8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168">
    <xf numFmtId="0" fontId="0" fillId="0" borderId="0" xfId="0" applyAlignment="1">
      <alignment/>
    </xf>
    <xf numFmtId="43" fontId="0" fillId="0" borderId="0" xfId="49" applyFont="1" applyAlignment="1">
      <alignment/>
    </xf>
    <xf numFmtId="164" fontId="0" fillId="0" borderId="0" xfId="49" applyNumberFormat="1" applyFont="1" applyAlignment="1">
      <alignment/>
    </xf>
    <xf numFmtId="164" fontId="0" fillId="0" borderId="10" xfId="49" applyNumberFormat="1" applyFont="1" applyBorder="1" applyAlignment="1">
      <alignment/>
    </xf>
    <xf numFmtId="165" fontId="0" fillId="0" borderId="10" xfId="55" applyNumberFormat="1" applyFont="1" applyBorder="1" applyAlignment="1">
      <alignment/>
    </xf>
    <xf numFmtId="0" fontId="0" fillId="5" borderId="1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67" fillId="19" borderId="10" xfId="0" applyFont="1" applyFill="1" applyBorder="1" applyAlignment="1">
      <alignment/>
    </xf>
    <xf numFmtId="0" fontId="67" fillId="19" borderId="10" xfId="0" applyFont="1" applyFill="1" applyBorder="1" applyAlignment="1">
      <alignment horizontal="center" vertical="center" wrapText="1"/>
    </xf>
    <xf numFmtId="0" fontId="67" fillId="19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/>
    </xf>
    <xf numFmtId="165" fontId="0" fillId="19" borderId="10" xfId="55" applyNumberFormat="1" applyFont="1" applyFill="1" applyBorder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12" borderId="10" xfId="0" applyFont="1" applyFill="1" applyBorder="1" applyAlignment="1">
      <alignment/>
    </xf>
    <xf numFmtId="0" fontId="67" fillId="12" borderId="10" xfId="0" applyFont="1" applyFill="1" applyBorder="1" applyAlignment="1">
      <alignment horizontal="center" vertical="center" wrapText="1"/>
    </xf>
    <xf numFmtId="0" fontId="67" fillId="12" borderId="10" xfId="0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/>
    </xf>
    <xf numFmtId="165" fontId="0" fillId="12" borderId="10" xfId="55" applyNumberFormat="1" applyFont="1" applyFill="1" applyBorder="1" applyAlignment="1">
      <alignment horizontal="center"/>
    </xf>
    <xf numFmtId="0" fontId="67" fillId="5" borderId="10" xfId="0" applyFont="1" applyFill="1" applyBorder="1" applyAlignment="1">
      <alignment/>
    </xf>
    <xf numFmtId="0" fontId="67" fillId="5" borderId="10" xfId="0" applyFont="1" applyFill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165" fontId="0" fillId="5" borderId="10" xfId="55" applyNumberFormat="1" applyFont="1" applyFill="1" applyBorder="1" applyAlignment="1">
      <alignment horizontal="center"/>
    </xf>
    <xf numFmtId="10" fontId="0" fillId="0" borderId="0" xfId="55" applyNumberFormat="1" applyFont="1" applyAlignment="1">
      <alignment/>
    </xf>
    <xf numFmtId="43" fontId="69" fillId="0" borderId="10" xfId="49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165" fontId="70" fillId="0" borderId="0" xfId="55" applyNumberFormat="1" applyFont="1" applyAlignment="1">
      <alignment/>
    </xf>
    <xf numFmtId="0" fontId="0" fillId="0" borderId="0" xfId="0" applyAlignment="1">
      <alignment horizontal="right"/>
    </xf>
    <xf numFmtId="0" fontId="71" fillId="0" borderId="0" xfId="0" applyFont="1" applyAlignment="1">
      <alignment/>
    </xf>
    <xf numFmtId="164" fontId="71" fillId="0" borderId="0" xfId="0" applyNumberFormat="1" applyFont="1" applyAlignment="1">
      <alignment/>
    </xf>
    <xf numFmtId="165" fontId="72" fillId="0" borderId="0" xfId="55" applyNumberFormat="1" applyFont="1" applyAlignment="1">
      <alignment/>
    </xf>
    <xf numFmtId="165" fontId="72" fillId="0" borderId="0" xfId="0" applyNumberFormat="1" applyFont="1" applyAlignment="1">
      <alignment/>
    </xf>
    <xf numFmtId="164" fontId="0" fillId="5" borderId="0" xfId="49" applyNumberFormat="1" applyFont="1" applyFill="1" applyAlignment="1">
      <alignment/>
    </xf>
    <xf numFmtId="9" fontId="0" fillId="34" borderId="11" xfId="0" applyNumberFormat="1" applyFill="1" applyBorder="1" applyAlignment="1">
      <alignment horizontal="left"/>
    </xf>
    <xf numFmtId="9" fontId="0" fillId="33" borderId="12" xfId="0" applyNumberFormat="1" applyFill="1" applyBorder="1" applyAlignment="1">
      <alignment horizontal="center"/>
    </xf>
    <xf numFmtId="164" fontId="0" fillId="33" borderId="13" xfId="49" applyNumberFormat="1" applyFont="1" applyFill="1" applyBorder="1" applyAlignment="1">
      <alignment/>
    </xf>
    <xf numFmtId="0" fontId="0" fillId="34" borderId="14" xfId="0" applyFill="1" applyBorder="1" applyAlignment="1">
      <alignment horizontal="left"/>
    </xf>
    <xf numFmtId="165" fontId="0" fillId="35" borderId="0" xfId="0" applyNumberFormat="1" applyFill="1" applyBorder="1" applyAlignment="1">
      <alignment horizontal="center"/>
    </xf>
    <xf numFmtId="164" fontId="0" fillId="33" borderId="15" xfId="49" applyNumberFormat="1" applyFont="1" applyFill="1" applyBorder="1" applyAlignment="1">
      <alignment/>
    </xf>
    <xf numFmtId="0" fontId="67" fillId="33" borderId="16" xfId="0" applyFont="1" applyFill="1" applyBorder="1" applyAlignment="1">
      <alignment horizontal="left"/>
    </xf>
    <xf numFmtId="165" fontId="67" fillId="33" borderId="17" xfId="55" applyNumberFormat="1" applyFont="1" applyFill="1" applyBorder="1" applyAlignment="1">
      <alignment horizontal="center"/>
    </xf>
    <xf numFmtId="164" fontId="67" fillId="33" borderId="18" xfId="49" applyNumberFormat="1" applyFont="1" applyFill="1" applyBorder="1" applyAlignment="1">
      <alignment/>
    </xf>
    <xf numFmtId="164" fontId="67" fillId="33" borderId="17" xfId="49" applyNumberFormat="1" applyFont="1" applyFill="1" applyBorder="1" applyAlignment="1">
      <alignment/>
    </xf>
    <xf numFmtId="0" fontId="73" fillId="0" borderId="0" xfId="0" applyFont="1" applyAlignment="1">
      <alignment/>
    </xf>
    <xf numFmtId="0" fontId="69" fillId="0" borderId="0" xfId="0" applyFont="1" applyAlignment="1">
      <alignment/>
    </xf>
    <xf numFmtId="0" fontId="74" fillId="0" borderId="0" xfId="0" applyFont="1" applyAlignment="1">
      <alignment/>
    </xf>
    <xf numFmtId="165" fontId="75" fillId="0" borderId="0" xfId="55" applyNumberFormat="1" applyFont="1" applyAlignment="1">
      <alignment/>
    </xf>
    <xf numFmtId="164" fontId="69" fillId="0" borderId="10" xfId="49" applyNumberFormat="1" applyFont="1" applyBorder="1" applyAlignment="1">
      <alignment/>
    </xf>
    <xf numFmtId="165" fontId="69" fillId="0" borderId="10" xfId="55" applyNumberFormat="1" applyFont="1" applyBorder="1" applyAlignment="1">
      <alignment/>
    </xf>
    <xf numFmtId="165" fontId="75" fillId="0" borderId="0" xfId="0" applyNumberFormat="1" applyFont="1" applyAlignment="1">
      <alignment/>
    </xf>
    <xf numFmtId="164" fontId="69" fillId="0" borderId="0" xfId="49" applyNumberFormat="1" applyFont="1" applyAlignment="1">
      <alignment/>
    </xf>
    <xf numFmtId="0" fontId="74" fillId="4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1" fontId="0" fillId="0" borderId="0" xfId="50" applyFont="1" applyAlignment="1">
      <alignment/>
    </xf>
    <xf numFmtId="41" fontId="69" fillId="0" borderId="0" xfId="50" applyFont="1" applyAlignment="1">
      <alignment/>
    </xf>
    <xf numFmtId="164" fontId="76" fillId="35" borderId="0" xfId="49" applyNumberFormat="1" applyFont="1" applyFill="1" applyBorder="1" applyAlignment="1">
      <alignment/>
    </xf>
    <xf numFmtId="0" fontId="69" fillId="35" borderId="0" xfId="0" applyFont="1" applyFill="1" applyAlignment="1">
      <alignment/>
    </xf>
    <xf numFmtId="0" fontId="0" fillId="35" borderId="0" xfId="0" applyFill="1" applyAlignment="1">
      <alignment/>
    </xf>
    <xf numFmtId="0" fontId="76" fillId="35" borderId="0" xfId="0" applyFont="1" applyFill="1" applyAlignment="1">
      <alignment/>
    </xf>
    <xf numFmtId="164" fontId="76" fillId="35" borderId="0" xfId="49" applyNumberFormat="1" applyFont="1" applyFill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164" fontId="69" fillId="35" borderId="10" xfId="49" applyNumberFormat="1" applyFont="1" applyFill="1" applyBorder="1" applyAlignment="1">
      <alignment/>
    </xf>
    <xf numFmtId="165" fontId="69" fillId="35" borderId="10" xfId="55" applyNumberFormat="1" applyFont="1" applyFill="1" applyBorder="1" applyAlignment="1">
      <alignment/>
    </xf>
    <xf numFmtId="164" fontId="69" fillId="35" borderId="0" xfId="49" applyNumberFormat="1" applyFont="1" applyFill="1" applyAlignment="1">
      <alignment/>
    </xf>
    <xf numFmtId="0" fontId="75" fillId="36" borderId="0" xfId="0" applyFont="1" applyFill="1" applyAlignment="1">
      <alignment/>
    </xf>
    <xf numFmtId="0" fontId="77" fillId="36" borderId="0" xfId="0" applyFont="1" applyFill="1" applyAlignment="1">
      <alignment/>
    </xf>
    <xf numFmtId="0" fontId="0" fillId="36" borderId="0" xfId="0" applyFill="1" applyAlignment="1">
      <alignment/>
    </xf>
    <xf numFmtId="0" fontId="78" fillId="12" borderId="10" xfId="0" applyFont="1" applyFill="1" applyBorder="1" applyAlignment="1">
      <alignment horizontal="center" vertical="center" wrapText="1"/>
    </xf>
    <xf numFmtId="0" fontId="69" fillId="35" borderId="0" xfId="0" applyFont="1" applyFill="1" applyAlignment="1">
      <alignment/>
    </xf>
    <xf numFmtId="0" fontId="79" fillId="35" borderId="0" xfId="0" applyFont="1" applyFill="1" applyBorder="1" applyAlignment="1">
      <alignment horizontal="left" vertical="center" wrapText="1"/>
    </xf>
    <xf numFmtId="0" fontId="80" fillId="35" borderId="0" xfId="0" applyFont="1" applyFill="1" applyBorder="1" applyAlignment="1">
      <alignment horizontal="left" vertical="center"/>
    </xf>
    <xf numFmtId="164" fontId="69" fillId="35" borderId="10" xfId="49" applyNumberFormat="1" applyFont="1" applyFill="1" applyBorder="1" applyAlignment="1" applyProtection="1">
      <alignment horizontal="right"/>
      <protection locked="0"/>
    </xf>
    <xf numFmtId="164" fontId="69" fillId="35" borderId="10" xfId="49" applyNumberFormat="1" applyFont="1" applyFill="1" applyBorder="1" applyAlignment="1" applyProtection="1">
      <alignment/>
      <protection locked="0"/>
    </xf>
    <xf numFmtId="164" fontId="69" fillId="33" borderId="13" xfId="49" applyNumberFormat="1" applyFont="1" applyFill="1" applyBorder="1" applyAlignment="1">
      <alignment/>
    </xf>
    <xf numFmtId="164" fontId="69" fillId="33" borderId="15" xfId="49" applyNumberFormat="1" applyFont="1" applyFill="1" applyBorder="1" applyAlignment="1">
      <alignment/>
    </xf>
    <xf numFmtId="164" fontId="74" fillId="33" borderId="18" xfId="49" applyNumberFormat="1" applyFont="1" applyFill="1" applyBorder="1" applyAlignment="1">
      <alignment/>
    </xf>
    <xf numFmtId="9" fontId="69" fillId="33" borderId="11" xfId="0" applyNumberFormat="1" applyFont="1" applyFill="1" applyBorder="1" applyAlignment="1">
      <alignment horizontal="left"/>
    </xf>
    <xf numFmtId="0" fontId="69" fillId="33" borderId="14" xfId="0" applyFont="1" applyFill="1" applyBorder="1" applyAlignment="1">
      <alignment horizontal="left"/>
    </xf>
    <xf numFmtId="0" fontId="69" fillId="33" borderId="10" xfId="0" applyFont="1" applyFill="1" applyBorder="1" applyAlignment="1">
      <alignment/>
    </xf>
    <xf numFmtId="165" fontId="0" fillId="35" borderId="0" xfId="0" applyNumberFormat="1" applyFill="1" applyAlignment="1">
      <alignment/>
    </xf>
    <xf numFmtId="165" fontId="74" fillId="17" borderId="10" xfId="55" applyNumberFormat="1" applyFont="1" applyFill="1" applyBorder="1" applyAlignment="1">
      <alignment/>
    </xf>
    <xf numFmtId="164" fontId="0" fillId="35" borderId="0" xfId="49" applyNumberFormat="1" applyFont="1" applyFill="1" applyAlignment="1">
      <alignment/>
    </xf>
    <xf numFmtId="0" fontId="21" fillId="35" borderId="0" xfId="0" applyFont="1" applyFill="1" applyBorder="1" applyAlignment="1">
      <alignment/>
    </xf>
    <xf numFmtId="0" fontId="57" fillId="35" borderId="0" xfId="46" applyFill="1" applyAlignment="1">
      <alignment/>
    </xf>
    <xf numFmtId="165" fontId="69" fillId="35" borderId="10" xfId="55" applyNumberFormat="1" applyFont="1" applyFill="1" applyBorder="1" applyAlignment="1" applyProtection="1">
      <alignment/>
      <protection locked="0"/>
    </xf>
    <xf numFmtId="43" fontId="0" fillId="35" borderId="0" xfId="0" applyNumberFormat="1" applyFill="1" applyAlignment="1">
      <alignment/>
    </xf>
    <xf numFmtId="9" fontId="69" fillId="35" borderId="0" xfId="49" applyNumberFormat="1" applyFont="1" applyFill="1" applyBorder="1" applyAlignment="1" applyProtection="1">
      <alignment horizontal="right"/>
      <protection locked="0"/>
    </xf>
    <xf numFmtId="9" fontId="69" fillId="35" borderId="12" xfId="0" applyNumberFormat="1" applyFont="1" applyFill="1" applyBorder="1" applyAlignment="1" applyProtection="1">
      <alignment horizontal="right"/>
      <protection locked="0"/>
    </xf>
    <xf numFmtId="43" fontId="69" fillId="35" borderId="0" xfId="49" applyFont="1" applyFill="1" applyBorder="1" applyAlignment="1" applyProtection="1">
      <alignment horizontal="right"/>
      <protection locked="0"/>
    </xf>
    <xf numFmtId="165" fontId="0" fillId="35" borderId="0" xfId="55" applyNumberFormat="1" applyFont="1" applyFill="1" applyAlignment="1">
      <alignment/>
    </xf>
    <xf numFmtId="165" fontId="69" fillId="37" borderId="10" xfId="55" applyNumberFormat="1" applyFont="1" applyFill="1" applyBorder="1" applyAlignment="1">
      <alignment/>
    </xf>
    <xf numFmtId="0" fontId="81" fillId="33" borderId="16" xfId="0" applyFont="1" applyFill="1" applyBorder="1" applyAlignment="1">
      <alignment horizontal="left"/>
    </xf>
    <xf numFmtId="165" fontId="69" fillId="33" borderId="17" xfId="55" applyNumberFormat="1" applyFont="1" applyFill="1" applyBorder="1" applyAlignment="1">
      <alignment/>
    </xf>
    <xf numFmtId="0" fontId="79" fillId="35" borderId="0" xfId="0" applyFont="1" applyFill="1" applyAlignment="1">
      <alignment/>
    </xf>
    <xf numFmtId="0" fontId="79" fillId="33" borderId="16" xfId="0" applyFont="1" applyFill="1" applyBorder="1" applyAlignment="1">
      <alignment/>
    </xf>
    <xf numFmtId="0" fontId="79" fillId="33" borderId="18" xfId="0" applyFont="1" applyFill="1" applyBorder="1" applyAlignment="1">
      <alignment/>
    </xf>
    <xf numFmtId="0" fontId="79" fillId="33" borderId="19" xfId="0" applyFont="1" applyFill="1" applyBorder="1" applyAlignment="1">
      <alignment/>
    </xf>
    <xf numFmtId="0" fontId="79" fillId="33" borderId="20" xfId="0" applyFont="1" applyFill="1" applyBorder="1" applyAlignment="1">
      <alignment/>
    </xf>
    <xf numFmtId="0" fontId="79" fillId="33" borderId="17" xfId="0" applyFont="1" applyFill="1" applyBorder="1" applyAlignment="1">
      <alignment/>
    </xf>
    <xf numFmtId="164" fontId="69" fillId="33" borderId="10" xfId="49" applyNumberFormat="1" applyFont="1" applyFill="1" applyBorder="1" applyAlignment="1">
      <alignment horizontal="left"/>
    </xf>
    <xf numFmtId="164" fontId="76" fillId="33" borderId="10" xfId="49" applyNumberFormat="1" applyFont="1" applyFill="1" applyBorder="1" applyAlignment="1">
      <alignment/>
    </xf>
    <xf numFmtId="164" fontId="79" fillId="35" borderId="18" xfId="49" applyNumberFormat="1" applyFont="1" applyFill="1" applyBorder="1" applyAlignment="1" applyProtection="1">
      <alignment/>
      <protection locked="0"/>
    </xf>
    <xf numFmtId="164" fontId="79" fillId="33" borderId="10" xfId="49" applyNumberFormat="1" applyFont="1" applyFill="1" applyBorder="1" applyAlignment="1" applyProtection="1">
      <alignment/>
      <protection locked="0"/>
    </xf>
    <xf numFmtId="164" fontId="79" fillId="35" borderId="10" xfId="49" applyNumberFormat="1" applyFont="1" applyFill="1" applyBorder="1" applyAlignment="1" applyProtection="1">
      <alignment/>
      <protection locked="0"/>
    </xf>
    <xf numFmtId="164" fontId="82" fillId="35" borderId="10" xfId="49" applyNumberFormat="1" applyFont="1" applyFill="1" applyBorder="1" applyAlignment="1" applyProtection="1">
      <alignment/>
      <protection locked="0"/>
    </xf>
    <xf numFmtId="0" fontId="71" fillId="35" borderId="0" xfId="0" applyFont="1" applyFill="1" applyAlignment="1">
      <alignment/>
    </xf>
    <xf numFmtId="0" fontId="83" fillId="35" borderId="0" xfId="0" applyFont="1" applyFill="1" applyAlignment="1">
      <alignment/>
    </xf>
    <xf numFmtId="0" fontId="84" fillId="35" borderId="0" xfId="0" applyFont="1" applyFill="1" applyAlignment="1">
      <alignment/>
    </xf>
    <xf numFmtId="0" fontId="0" fillId="38" borderId="0" xfId="0" applyFill="1" applyAlignment="1">
      <alignment/>
    </xf>
    <xf numFmtId="164" fontId="74" fillId="24" borderId="17" xfId="49" applyNumberFormat="1" applyFont="1" applyFill="1" applyBorder="1" applyAlignment="1">
      <alignment/>
    </xf>
    <xf numFmtId="164" fontId="74" fillId="24" borderId="18" xfId="49" applyNumberFormat="1" applyFont="1" applyFill="1" applyBorder="1" applyAlignment="1">
      <alignment/>
    </xf>
    <xf numFmtId="0" fontId="81" fillId="24" borderId="16" xfId="0" applyFont="1" applyFill="1" applyBorder="1" applyAlignment="1">
      <alignment horizontal="left"/>
    </xf>
    <xf numFmtId="165" fontId="69" fillId="24" borderId="17" xfId="55" applyNumberFormat="1" applyFont="1" applyFill="1" applyBorder="1" applyAlignment="1">
      <alignment/>
    </xf>
    <xf numFmtId="164" fontId="85" fillId="35" borderId="0" xfId="0" applyNumberFormat="1" applyFont="1" applyFill="1" applyBorder="1" applyAlignment="1" applyProtection="1">
      <alignment/>
      <protection locked="0"/>
    </xf>
    <xf numFmtId="0" fontId="74" fillId="4" borderId="21" xfId="0" applyFont="1" applyFill="1" applyBorder="1" applyAlignment="1">
      <alignment horizontal="center" vertical="center" wrapText="1"/>
    </xf>
    <xf numFmtId="0" fontId="74" fillId="4" borderId="22" xfId="0" applyFont="1" applyFill="1" applyBorder="1" applyAlignment="1">
      <alignment horizontal="center" vertical="center" wrapText="1"/>
    </xf>
    <xf numFmtId="0" fontId="74" fillId="4" borderId="16" xfId="0" applyFont="1" applyFill="1" applyBorder="1" applyAlignment="1">
      <alignment horizontal="center" vertical="center"/>
    </xf>
    <xf numFmtId="0" fontId="74" fillId="4" borderId="17" xfId="0" applyFont="1" applyFill="1" applyBorder="1" applyAlignment="1">
      <alignment horizontal="center" vertical="center"/>
    </xf>
    <xf numFmtId="0" fontId="74" fillId="4" borderId="18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67" fillId="5" borderId="16" xfId="0" applyFont="1" applyFill="1" applyBorder="1" applyAlignment="1">
      <alignment horizontal="center" vertical="center"/>
    </xf>
    <xf numFmtId="0" fontId="67" fillId="5" borderId="17" xfId="0" applyFont="1" applyFill="1" applyBorder="1" applyAlignment="1">
      <alignment horizontal="center" vertical="center"/>
    </xf>
    <xf numFmtId="0" fontId="67" fillId="5" borderId="18" xfId="0" applyFont="1" applyFill="1" applyBorder="1" applyAlignment="1">
      <alignment horizontal="center" vertical="center"/>
    </xf>
    <xf numFmtId="0" fontId="76" fillId="0" borderId="0" xfId="0" applyFont="1" applyAlignment="1">
      <alignment horizontal="left" vertical="center" wrapText="1"/>
    </xf>
    <xf numFmtId="0" fontId="67" fillId="19" borderId="16" xfId="0" applyFont="1" applyFill="1" applyBorder="1" applyAlignment="1">
      <alignment horizontal="center" vertical="center"/>
    </xf>
    <xf numFmtId="0" fontId="67" fillId="19" borderId="17" xfId="0" applyFont="1" applyFill="1" applyBorder="1" applyAlignment="1">
      <alignment horizontal="center" vertical="center"/>
    </xf>
    <xf numFmtId="0" fontId="67" fillId="19" borderId="1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7" fillId="12" borderId="16" xfId="0" applyFont="1" applyFill="1" applyBorder="1" applyAlignment="1">
      <alignment horizontal="center" vertical="center"/>
    </xf>
    <xf numFmtId="0" fontId="67" fillId="12" borderId="17" xfId="0" applyFont="1" applyFill="1" applyBorder="1" applyAlignment="1">
      <alignment horizontal="center" vertical="center"/>
    </xf>
    <xf numFmtId="0" fontId="67" fillId="12" borderId="18" xfId="0" applyFont="1" applyFill="1" applyBorder="1" applyAlignment="1">
      <alignment horizontal="center" vertical="center"/>
    </xf>
    <xf numFmtId="0" fontId="86" fillId="33" borderId="16" xfId="0" applyFont="1" applyFill="1" applyBorder="1" applyAlignment="1">
      <alignment horizontal="center" vertical="center" wrapText="1"/>
    </xf>
    <xf numFmtId="0" fontId="86" fillId="33" borderId="17" xfId="0" applyFont="1" applyFill="1" applyBorder="1" applyAlignment="1">
      <alignment horizontal="center" vertical="center" wrapText="1"/>
    </xf>
    <xf numFmtId="0" fontId="86" fillId="33" borderId="18" xfId="0" applyFont="1" applyFill="1" applyBorder="1" applyAlignment="1">
      <alignment horizontal="center" vertical="center" wrapText="1"/>
    </xf>
    <xf numFmtId="0" fontId="87" fillId="36" borderId="0" xfId="0" applyFont="1" applyFill="1" applyAlignment="1">
      <alignment horizontal="center" vertical="center" wrapText="1"/>
    </xf>
    <xf numFmtId="0" fontId="88" fillId="35" borderId="11" xfId="0" applyFont="1" applyFill="1" applyBorder="1" applyAlignment="1">
      <alignment horizontal="left" vertical="top" wrapText="1"/>
    </xf>
    <xf numFmtId="0" fontId="88" fillId="35" borderId="12" xfId="0" applyFont="1" applyFill="1" applyBorder="1" applyAlignment="1">
      <alignment horizontal="left" vertical="top" wrapText="1"/>
    </xf>
    <xf numFmtId="0" fontId="88" fillId="35" borderId="13" xfId="0" applyFont="1" applyFill="1" applyBorder="1" applyAlignment="1">
      <alignment horizontal="left" vertical="top" wrapText="1"/>
    </xf>
    <xf numFmtId="0" fontId="88" fillId="35" borderId="14" xfId="0" applyFont="1" applyFill="1" applyBorder="1" applyAlignment="1">
      <alignment horizontal="left" vertical="top" wrapText="1"/>
    </xf>
    <xf numFmtId="0" fontId="88" fillId="35" borderId="0" xfId="0" applyFont="1" applyFill="1" applyBorder="1" applyAlignment="1">
      <alignment horizontal="left" vertical="top" wrapText="1"/>
    </xf>
    <xf numFmtId="0" fontId="88" fillId="35" borderId="15" xfId="0" applyFont="1" applyFill="1" applyBorder="1" applyAlignment="1">
      <alignment horizontal="left" vertical="top" wrapText="1"/>
    </xf>
    <xf numFmtId="0" fontId="88" fillId="35" borderId="19" xfId="0" applyFont="1" applyFill="1" applyBorder="1" applyAlignment="1">
      <alignment horizontal="left" vertical="top" wrapText="1"/>
    </xf>
    <xf numFmtId="0" fontId="88" fillId="35" borderId="23" xfId="0" applyFont="1" applyFill="1" applyBorder="1" applyAlignment="1">
      <alignment horizontal="left" vertical="top" wrapText="1"/>
    </xf>
    <xf numFmtId="0" fontId="88" fillId="35" borderId="20" xfId="0" applyFont="1" applyFill="1" applyBorder="1" applyAlignment="1">
      <alignment horizontal="left" vertical="top" wrapText="1"/>
    </xf>
    <xf numFmtId="0" fontId="89" fillId="35" borderId="0" xfId="0" applyFont="1" applyFill="1" applyAlignment="1">
      <alignment horizontal="left"/>
    </xf>
    <xf numFmtId="0" fontId="78" fillId="39" borderId="21" xfId="0" applyFont="1" applyFill="1" applyBorder="1" applyAlignment="1">
      <alignment horizontal="center" vertical="center" wrapText="1"/>
    </xf>
    <xf numFmtId="0" fontId="78" fillId="39" borderId="22" xfId="0" applyFont="1" applyFill="1" applyBorder="1" applyAlignment="1">
      <alignment horizontal="center" vertical="center" wrapText="1"/>
    </xf>
    <xf numFmtId="0" fontId="78" fillId="12" borderId="16" xfId="0" applyFont="1" applyFill="1" applyBorder="1" applyAlignment="1">
      <alignment horizontal="center" vertical="center"/>
    </xf>
    <xf numFmtId="0" fontId="78" fillId="12" borderId="17" xfId="0" applyFont="1" applyFill="1" applyBorder="1" applyAlignment="1">
      <alignment horizontal="center" vertical="center"/>
    </xf>
    <xf numFmtId="0" fontId="78" fillId="12" borderId="18" xfId="0" applyFont="1" applyFill="1" applyBorder="1" applyAlignment="1">
      <alignment horizontal="center" vertical="center"/>
    </xf>
    <xf numFmtId="0" fontId="81" fillId="40" borderId="21" xfId="0" applyFont="1" applyFill="1" applyBorder="1" applyAlignment="1">
      <alignment horizontal="center" vertical="center" wrapText="1"/>
    </xf>
    <xf numFmtId="0" fontId="81" fillId="40" borderId="22" xfId="0" applyFont="1" applyFill="1" applyBorder="1" applyAlignment="1">
      <alignment horizontal="center" vertical="center" wrapText="1"/>
    </xf>
    <xf numFmtId="0" fontId="69" fillId="35" borderId="11" xfId="0" applyFont="1" applyFill="1" applyBorder="1" applyAlignment="1">
      <alignment horizontal="left" vertical="center" wrapText="1"/>
    </xf>
    <xf numFmtId="0" fontId="69" fillId="35" borderId="12" xfId="0" applyFont="1" applyFill="1" applyBorder="1" applyAlignment="1">
      <alignment horizontal="left" vertical="center" wrapText="1"/>
    </xf>
    <xf numFmtId="0" fontId="69" fillId="35" borderId="13" xfId="0" applyFont="1" applyFill="1" applyBorder="1" applyAlignment="1">
      <alignment horizontal="left" vertical="center" wrapText="1"/>
    </xf>
    <xf numFmtId="0" fontId="69" fillId="35" borderId="14" xfId="0" applyFont="1" applyFill="1" applyBorder="1" applyAlignment="1">
      <alignment horizontal="left" vertical="center" wrapText="1"/>
    </xf>
    <xf numFmtId="0" fontId="69" fillId="35" borderId="0" xfId="0" applyFont="1" applyFill="1" applyBorder="1" applyAlignment="1">
      <alignment horizontal="left" vertical="center" wrapText="1"/>
    </xf>
    <xf numFmtId="0" fontId="69" fillId="35" borderId="15" xfId="0" applyFont="1" applyFill="1" applyBorder="1" applyAlignment="1">
      <alignment horizontal="left" vertical="center" wrapText="1"/>
    </xf>
    <xf numFmtId="0" fontId="69" fillId="35" borderId="19" xfId="0" applyFont="1" applyFill="1" applyBorder="1" applyAlignment="1">
      <alignment horizontal="left" vertical="center" wrapText="1"/>
    </xf>
    <xf numFmtId="0" fontId="69" fillId="35" borderId="23" xfId="0" applyFont="1" applyFill="1" applyBorder="1" applyAlignment="1">
      <alignment horizontal="left" vertical="center" wrapText="1"/>
    </xf>
    <xf numFmtId="0" fontId="69" fillId="35" borderId="20" xfId="0" applyFont="1" applyFill="1" applyBorder="1" applyAlignment="1">
      <alignment horizontal="left" vertical="center" wrapText="1"/>
    </xf>
    <xf numFmtId="0" fontId="69" fillId="35" borderId="16" xfId="0" applyFont="1" applyFill="1" applyBorder="1" applyAlignment="1">
      <alignment horizontal="left" vertical="center" wrapText="1"/>
    </xf>
    <xf numFmtId="0" fontId="69" fillId="35" borderId="17" xfId="0" applyFont="1" applyFill="1" applyBorder="1" applyAlignment="1">
      <alignment horizontal="left" vertical="center" wrapText="1"/>
    </xf>
    <xf numFmtId="0" fontId="69" fillId="35" borderId="18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Grupo de actividades'!C10" /><Relationship Id="rId3" Type="http://schemas.openxmlformats.org/officeDocument/2006/relationships/hyperlink" Target="#'Grupo de actividades'!C10" /><Relationship Id="rId4" Type="http://schemas.openxmlformats.org/officeDocument/2006/relationships/image" Target="../media/image2.emf" /><Relationship Id="rId5" Type="http://schemas.openxmlformats.org/officeDocument/2006/relationships/image" Target="../media/image3.png" /><Relationship Id="rId6" Type="http://schemas.openxmlformats.org/officeDocument/2006/relationships/hyperlink" Target="https://www.consultorcontable.com/herramienta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Simulador!A1" /><Relationship Id="rId3" Type="http://schemas.openxmlformats.org/officeDocument/2006/relationships/hyperlink" Target="#Simulador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1</xdr:row>
      <xdr:rowOff>19050</xdr:rowOff>
    </xdr:from>
    <xdr:to>
      <xdr:col>15</xdr:col>
      <xdr:colOff>219075</xdr:colOff>
      <xdr:row>2</xdr:row>
      <xdr:rowOff>9525</xdr:rowOff>
    </xdr:to>
    <xdr:sp macro="[0]!Macro1">
      <xdr:nvSpPr>
        <xdr:cNvPr id="1" name="Multiplicar 1"/>
        <xdr:cNvSpPr>
          <a:spLocks/>
        </xdr:cNvSpPr>
      </xdr:nvSpPr>
      <xdr:spPr>
        <a:xfrm>
          <a:off x="8267700" y="85725"/>
          <a:ext cx="200025" cy="180975"/>
        </a:xfrm>
        <a:custGeom>
          <a:pathLst>
            <a:path h="182217" w="198783">
              <a:moveTo>
                <a:pt x="33263" y="59560"/>
              </a:moveTo>
              <a:lnTo>
                <a:pt x="62223" y="27968"/>
              </a:lnTo>
              <a:lnTo>
                <a:pt x="99392" y="62039"/>
              </a:lnTo>
              <a:lnTo>
                <a:pt x="136560" y="27968"/>
              </a:lnTo>
              <a:lnTo>
                <a:pt x="165520" y="59560"/>
              </a:lnTo>
              <a:lnTo>
                <a:pt x="131104" y="91109"/>
              </a:lnTo>
              <a:lnTo>
                <a:pt x="165520" y="122657"/>
              </a:lnTo>
              <a:lnTo>
                <a:pt x="136560" y="154249"/>
              </a:lnTo>
              <a:lnTo>
                <a:pt x="99392" y="120178"/>
              </a:lnTo>
              <a:lnTo>
                <a:pt x="62223" y="154249"/>
              </a:lnTo>
              <a:lnTo>
                <a:pt x="33263" y="122657"/>
              </a:lnTo>
              <a:lnTo>
                <a:pt x="67679" y="91109"/>
              </a:lnTo>
              <a:lnTo>
                <a:pt x="33263" y="59560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514350</xdr:colOff>
      <xdr:row>5</xdr:row>
      <xdr:rowOff>0</xdr:rowOff>
    </xdr:to>
    <xdr:pic>
      <xdr:nvPicPr>
        <xdr:cNvPr id="1" name="Imagen 3" descr="Resultado de imagen para Actividad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8</xdr:row>
      <xdr:rowOff>142875</xdr:rowOff>
    </xdr:from>
    <xdr:to>
      <xdr:col>5</xdr:col>
      <xdr:colOff>800100</xdr:colOff>
      <xdr:row>11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923925"/>
          <a:ext cx="762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1</xdr:row>
      <xdr:rowOff>0</xdr:rowOff>
    </xdr:from>
    <xdr:to>
      <xdr:col>15</xdr:col>
      <xdr:colOff>381000</xdr:colOff>
      <xdr:row>3</xdr:row>
      <xdr:rowOff>142875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86600" y="28575"/>
          <a:ext cx="1628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704850</xdr:colOff>
      <xdr:row>1</xdr:row>
      <xdr:rowOff>28575</xdr:rowOff>
    </xdr:from>
    <xdr:to>
      <xdr:col>18</xdr:col>
      <xdr:colOff>314325</xdr:colOff>
      <xdr:row>4</xdr:row>
      <xdr:rowOff>19050</xdr:rowOff>
    </xdr:to>
    <xdr:sp>
      <xdr:nvSpPr>
        <xdr:cNvPr id="4" name="CuadroTexto 4">
          <a:hlinkClick r:id="rId6"/>
        </xdr:cNvPr>
        <xdr:cNvSpPr txBox="1">
          <a:spLocks noChangeArrowheads="1"/>
        </xdr:cNvSpPr>
      </xdr:nvSpPr>
      <xdr:spPr>
        <a:xfrm>
          <a:off x="9039225" y="57150"/>
          <a:ext cx="1914525" cy="53340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Más Herramientas contables y tributarias aquí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685800</xdr:colOff>
      <xdr:row>6</xdr:row>
      <xdr:rowOff>66675</xdr:rowOff>
    </xdr:to>
    <xdr:pic>
      <xdr:nvPicPr>
        <xdr:cNvPr id="1" name="Imagen 1" descr="Resultado de imagen para flecha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orcontable.com/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rgb="FF00B050"/>
  </sheetPr>
  <dimension ref="B2:M67"/>
  <sheetViews>
    <sheetView zoomScale="115" zoomScaleNormal="115" zoomScalePageLayoutView="0" workbookViewId="0" topLeftCell="C1">
      <pane ySplit="3" topLeftCell="A4" activePane="bottomLeft" state="frozen"/>
      <selection pane="topLeft" activeCell="C7" sqref="C7:O12"/>
      <selection pane="bottomLeft" activeCell="C7" sqref="C7:O12"/>
    </sheetView>
  </sheetViews>
  <sheetFormatPr defaultColWidth="12" defaultRowHeight="10.5"/>
  <cols>
    <col min="1" max="1" width="0.82421875" style="46" hidden="1" customWidth="1"/>
    <col min="2" max="2" width="2" style="46" hidden="1" customWidth="1"/>
    <col min="3" max="3" width="2" style="46" customWidth="1"/>
    <col min="4" max="4" width="19.83203125" style="46" customWidth="1"/>
    <col min="5" max="5" width="13.83203125" style="46" customWidth="1"/>
    <col min="6" max="7" width="21.33203125" style="46" customWidth="1"/>
    <col min="8" max="8" width="16.66015625" style="46" customWidth="1"/>
    <col min="9" max="9" width="15.66015625" style="46" customWidth="1"/>
    <col min="10" max="10" width="16" style="46" customWidth="1"/>
    <col min="11" max="11" width="12" style="46" customWidth="1"/>
    <col min="12" max="12" width="19.66015625" style="46" bestFit="1" customWidth="1"/>
    <col min="13" max="16384" width="12" style="46" customWidth="1"/>
  </cols>
  <sheetData>
    <row r="1" ht="5.25" customHeight="1"/>
    <row r="2" ht="15">
      <c r="D2" s="47" t="s">
        <v>2</v>
      </c>
    </row>
    <row r="3" ht="15">
      <c r="D3" s="47" t="s">
        <v>0</v>
      </c>
    </row>
    <row r="4" ht="6.75" customHeight="1"/>
    <row r="5" ht="14.25" hidden="1"/>
    <row r="6" ht="14.25" hidden="1"/>
    <row r="7" spans="4:9" ht="15" customHeight="1">
      <c r="D7" s="122" t="s">
        <v>27</v>
      </c>
      <c r="E7" s="122"/>
      <c r="F7" s="122"/>
      <c r="G7" s="122"/>
      <c r="H7" s="122"/>
      <c r="I7" s="122"/>
    </row>
    <row r="9" spans="4:8" ht="15">
      <c r="D9" s="119" t="s">
        <v>28</v>
      </c>
      <c r="E9" s="120"/>
      <c r="F9" s="120"/>
      <c r="G9" s="121"/>
      <c r="H9" s="117" t="s">
        <v>31</v>
      </c>
    </row>
    <row r="10" spans="4:8" ht="27.75" customHeight="1">
      <c r="D10" s="53" t="s">
        <v>35</v>
      </c>
      <c r="E10" s="53" t="s">
        <v>29</v>
      </c>
      <c r="F10" s="53" t="s">
        <v>36</v>
      </c>
      <c r="G10" s="53" t="s">
        <v>30</v>
      </c>
      <c r="H10" s="118"/>
    </row>
    <row r="11" spans="2:8" ht="14.25">
      <c r="B11" s="48" t="e">
        <f>IF(AND(#REF!&gt;F12,#REF!&lt;G12),H12,0)</f>
        <v>#REF!</v>
      </c>
      <c r="C11" s="48"/>
      <c r="D11" s="49">
        <v>0</v>
      </c>
      <c r="E11" s="49">
        <v>6000</v>
      </c>
      <c r="F11" s="49">
        <f>+D11*$E$16</f>
        <v>0</v>
      </c>
      <c r="G11" s="49">
        <f>+E11*$E$16</f>
        <v>205620000</v>
      </c>
      <c r="H11" s="50">
        <v>0.02</v>
      </c>
    </row>
    <row r="12" spans="2:12" ht="14.25">
      <c r="B12" s="48" t="e">
        <f>IF(AND(#REF!&gt;F13,#REF!&lt;G13),H13,0)</f>
        <v>#REF!</v>
      </c>
      <c r="C12" s="48"/>
      <c r="D12" s="49">
        <v>6000</v>
      </c>
      <c r="E12" s="49">
        <v>15000</v>
      </c>
      <c r="F12" s="49">
        <f>+D12*$E$16</f>
        <v>205620000</v>
      </c>
      <c r="G12" s="49">
        <f>+E12*$E$16</f>
        <v>514050000</v>
      </c>
      <c r="H12" s="50">
        <v>0.028</v>
      </c>
      <c r="L12" s="56"/>
    </row>
    <row r="13" spans="2:12" ht="14.25">
      <c r="B13" s="48" t="e">
        <f>IF(AND(#REF!&gt;F14,#REF!&lt;G14),H14,0)</f>
        <v>#REF!</v>
      </c>
      <c r="C13" s="48"/>
      <c r="D13" s="49">
        <v>15000</v>
      </c>
      <c r="E13" s="49">
        <v>30000</v>
      </c>
      <c r="F13" s="49">
        <f>+D13*$E$16</f>
        <v>514050000</v>
      </c>
      <c r="G13" s="49">
        <f>+E13*$E$16</f>
        <v>1028100000</v>
      </c>
      <c r="H13" s="50">
        <v>0.081</v>
      </c>
      <c r="L13" s="56"/>
    </row>
    <row r="14" spans="2:12" ht="14.25">
      <c r="B14" s="51" t="e">
        <f>SUM(B11:B13)</f>
        <v>#REF!</v>
      </c>
      <c r="C14" s="51"/>
      <c r="D14" s="49">
        <v>30000</v>
      </c>
      <c r="E14" s="49">
        <v>80000</v>
      </c>
      <c r="F14" s="49">
        <f>+D14*$E$16</f>
        <v>1028100000</v>
      </c>
      <c r="G14" s="49">
        <f>+E14*$E$16</f>
        <v>2741600000</v>
      </c>
      <c r="H14" s="50">
        <v>0.116</v>
      </c>
      <c r="L14" s="56"/>
    </row>
    <row r="15" ht="6.75" customHeight="1"/>
    <row r="16" spans="4:5" ht="14.25">
      <c r="D16" s="46" t="s">
        <v>8</v>
      </c>
      <c r="E16" s="52">
        <v>34270</v>
      </c>
    </row>
    <row r="19" spans="4:9" ht="14.25">
      <c r="D19" s="122" t="s">
        <v>32</v>
      </c>
      <c r="E19" s="122"/>
      <c r="F19" s="122"/>
      <c r="G19" s="122"/>
      <c r="H19" s="122"/>
      <c r="I19" s="122"/>
    </row>
    <row r="20" spans="4:9" ht="14.25">
      <c r="D20" s="122"/>
      <c r="E20" s="122"/>
      <c r="F20" s="122"/>
      <c r="G20" s="122"/>
      <c r="H20" s="122"/>
      <c r="I20" s="122"/>
    </row>
    <row r="21" spans="4:9" ht="14.25">
      <c r="D21" s="122"/>
      <c r="E21" s="122"/>
      <c r="F21" s="122"/>
      <c r="G21" s="122"/>
      <c r="H21" s="122"/>
      <c r="I21" s="122"/>
    </row>
    <row r="22" spans="4:9" ht="14.25" hidden="1">
      <c r="D22" s="122"/>
      <c r="E22" s="122"/>
      <c r="F22" s="122"/>
      <c r="G22" s="122"/>
      <c r="H22" s="122"/>
      <c r="I22" s="122"/>
    </row>
    <row r="23" spans="4:9" ht="9.75" customHeight="1">
      <c r="D23" s="122"/>
      <c r="E23" s="122"/>
      <c r="F23" s="122"/>
      <c r="G23" s="122"/>
      <c r="H23" s="122"/>
      <c r="I23" s="122"/>
    </row>
    <row r="24" spans="4:9" ht="14.25">
      <c r="D24" s="122"/>
      <c r="E24" s="122"/>
      <c r="F24" s="122"/>
      <c r="G24" s="122"/>
      <c r="H24" s="122"/>
      <c r="I24" s="122"/>
    </row>
    <row r="26" spans="4:8" ht="15">
      <c r="D26" s="119" t="s">
        <v>28</v>
      </c>
      <c r="E26" s="120"/>
      <c r="F26" s="120"/>
      <c r="G26" s="121"/>
      <c r="H26" s="117" t="s">
        <v>31</v>
      </c>
    </row>
    <row r="27" spans="4:8" ht="30">
      <c r="D27" s="53" t="s">
        <v>35</v>
      </c>
      <c r="E27" s="53" t="s">
        <v>29</v>
      </c>
      <c r="F27" s="53" t="s">
        <v>36</v>
      </c>
      <c r="G27" s="53" t="s">
        <v>30</v>
      </c>
      <c r="H27" s="118"/>
    </row>
    <row r="28" spans="4:8" ht="14.25">
      <c r="D28" s="49">
        <v>0</v>
      </c>
      <c r="E28" s="49">
        <v>6000</v>
      </c>
      <c r="F28" s="49">
        <f>+D28*$E$33</f>
        <v>0</v>
      </c>
      <c r="G28" s="49">
        <f>+E28*$E$33</f>
        <v>205620000</v>
      </c>
      <c r="H28" s="50">
        <v>0.018</v>
      </c>
    </row>
    <row r="29" spans="4:8" ht="14.25">
      <c r="D29" s="49">
        <v>6000</v>
      </c>
      <c r="E29" s="49">
        <v>15000</v>
      </c>
      <c r="F29" s="49">
        <f>+D29*$E$33</f>
        <v>205620000</v>
      </c>
      <c r="G29" s="49">
        <f>+E29*$E$33</f>
        <v>514050000</v>
      </c>
      <c r="H29" s="50">
        <v>0.022</v>
      </c>
    </row>
    <row r="30" spans="4:8" ht="14.25">
      <c r="D30" s="49">
        <v>15000</v>
      </c>
      <c r="E30" s="49">
        <v>30000</v>
      </c>
      <c r="F30" s="49">
        <f>+D30*$E$33</f>
        <v>514050000</v>
      </c>
      <c r="G30" s="49">
        <f>+E30*$E$33</f>
        <v>1028100000</v>
      </c>
      <c r="H30" s="50">
        <v>0.039</v>
      </c>
    </row>
    <row r="31" spans="4:8" ht="14.25">
      <c r="D31" s="49">
        <v>30000</v>
      </c>
      <c r="E31" s="49">
        <v>80000</v>
      </c>
      <c r="F31" s="49">
        <f>+D31*$E$33</f>
        <v>1028100000</v>
      </c>
      <c r="G31" s="49">
        <f>+E31*$E$33</f>
        <v>2741600000</v>
      </c>
      <c r="H31" s="50">
        <v>0.054</v>
      </c>
    </row>
    <row r="33" spans="4:5" ht="14.25">
      <c r="D33" s="46" t="s">
        <v>8</v>
      </c>
      <c r="E33" s="52">
        <f>+E16</f>
        <v>34270</v>
      </c>
    </row>
    <row r="34" ht="14.25">
      <c r="E34" s="52"/>
    </row>
    <row r="36" spans="4:9" ht="14.25">
      <c r="D36" s="122" t="s">
        <v>33</v>
      </c>
      <c r="E36" s="122"/>
      <c r="F36" s="122"/>
      <c r="G36" s="122"/>
      <c r="H36" s="122"/>
      <c r="I36" s="122"/>
    </row>
    <row r="37" spans="4:9" ht="14.25">
      <c r="D37" s="122"/>
      <c r="E37" s="122"/>
      <c r="F37" s="122"/>
      <c r="G37" s="122"/>
      <c r="H37" s="122"/>
      <c r="I37" s="122"/>
    </row>
    <row r="38" spans="4:9" ht="14.25">
      <c r="D38" s="122"/>
      <c r="E38" s="122"/>
      <c r="F38" s="122"/>
      <c r="G38" s="122"/>
      <c r="H38" s="122"/>
      <c r="I38" s="122"/>
    </row>
    <row r="39" spans="4:9" ht="4.5" customHeight="1">
      <c r="D39" s="122"/>
      <c r="E39" s="122"/>
      <c r="F39" s="122"/>
      <c r="G39" s="122"/>
      <c r="H39" s="122"/>
      <c r="I39" s="122"/>
    </row>
    <row r="40" spans="4:9" ht="14.25" hidden="1">
      <c r="D40" s="122"/>
      <c r="E40" s="122"/>
      <c r="F40" s="122"/>
      <c r="G40" s="122"/>
      <c r="H40" s="122"/>
      <c r="I40" s="122"/>
    </row>
    <row r="41" spans="4:9" ht="14.25" hidden="1">
      <c r="D41" s="122"/>
      <c r="E41" s="122"/>
      <c r="F41" s="122"/>
      <c r="G41" s="122"/>
      <c r="H41" s="122"/>
      <c r="I41" s="122"/>
    </row>
    <row r="43" spans="4:8" ht="15">
      <c r="D43" s="119" t="s">
        <v>28</v>
      </c>
      <c r="E43" s="120"/>
      <c r="F43" s="120"/>
      <c r="G43" s="121"/>
      <c r="H43" s="117" t="s">
        <v>31</v>
      </c>
    </row>
    <row r="44" spans="4:8" ht="30">
      <c r="D44" s="53" t="s">
        <v>35</v>
      </c>
      <c r="E44" s="53" t="s">
        <v>29</v>
      </c>
      <c r="F44" s="53" t="s">
        <v>36</v>
      </c>
      <c r="G44" s="53" t="s">
        <v>30</v>
      </c>
      <c r="H44" s="118"/>
    </row>
    <row r="45" spans="4:8" ht="14.25">
      <c r="D45" s="49">
        <v>0</v>
      </c>
      <c r="E45" s="49">
        <v>6000</v>
      </c>
      <c r="F45" s="49">
        <f>+D45*$E$33</f>
        <v>0</v>
      </c>
      <c r="G45" s="49">
        <f>+E45*$E$33</f>
        <v>205620000</v>
      </c>
      <c r="H45" s="50">
        <v>0.049</v>
      </c>
    </row>
    <row r="46" spans="4:10" ht="14.25">
      <c r="D46" s="49">
        <v>6000</v>
      </c>
      <c r="E46" s="49">
        <v>15000</v>
      </c>
      <c r="F46" s="49">
        <f>+D46*$E$33</f>
        <v>205620000</v>
      </c>
      <c r="G46" s="49">
        <f>+E46*$E$33</f>
        <v>514050000</v>
      </c>
      <c r="H46" s="50">
        <v>0.053</v>
      </c>
      <c r="J46" s="46" t="s">
        <v>46</v>
      </c>
    </row>
    <row r="47" spans="4:8" ht="14.25">
      <c r="D47" s="49">
        <v>15000</v>
      </c>
      <c r="E47" s="49">
        <v>30000</v>
      </c>
      <c r="F47" s="49">
        <f>+D47*$E$33</f>
        <v>514050000</v>
      </c>
      <c r="G47" s="49">
        <f>+E47*$E$33</f>
        <v>1028100000</v>
      </c>
      <c r="H47" s="50">
        <v>0.07</v>
      </c>
    </row>
    <row r="48" spans="4:8" ht="14.25">
      <c r="D48" s="49">
        <v>30000</v>
      </c>
      <c r="E48" s="49">
        <v>80000</v>
      </c>
      <c r="F48" s="49">
        <f>+D48*$E$33</f>
        <v>1028100000</v>
      </c>
      <c r="G48" s="49">
        <f>+E48*$E$33</f>
        <v>2741600000</v>
      </c>
      <c r="H48" s="50">
        <v>0.085</v>
      </c>
    </row>
    <row r="50" spans="4:5" ht="14.25">
      <c r="D50" s="46" t="s">
        <v>8</v>
      </c>
      <c r="E50" s="52">
        <f>+E33</f>
        <v>34270</v>
      </c>
    </row>
    <row r="53" spans="4:9" ht="14.25">
      <c r="D53" s="122" t="s">
        <v>34</v>
      </c>
      <c r="E53" s="122"/>
      <c r="F53" s="122"/>
      <c r="G53" s="122"/>
      <c r="H53" s="122"/>
      <c r="I53" s="122"/>
    </row>
    <row r="54" spans="4:9" ht="3.75" customHeight="1">
      <c r="D54" s="122"/>
      <c r="E54" s="122"/>
      <c r="F54" s="122"/>
      <c r="G54" s="122"/>
      <c r="H54" s="122"/>
      <c r="I54" s="122"/>
    </row>
    <row r="55" spans="4:9" ht="14.25" hidden="1">
      <c r="D55" s="122"/>
      <c r="E55" s="122"/>
      <c r="F55" s="122"/>
      <c r="G55" s="122"/>
      <c r="H55" s="122"/>
      <c r="I55" s="122"/>
    </row>
    <row r="56" spans="4:9" ht="14.25" hidden="1">
      <c r="D56" s="122"/>
      <c r="E56" s="122"/>
      <c r="F56" s="122"/>
      <c r="G56" s="122"/>
      <c r="H56" s="122"/>
      <c r="I56" s="122"/>
    </row>
    <row r="57" spans="4:9" ht="14.25" hidden="1">
      <c r="D57" s="122"/>
      <c r="E57" s="122"/>
      <c r="F57" s="122"/>
      <c r="G57" s="122"/>
      <c r="H57" s="122"/>
      <c r="I57" s="122"/>
    </row>
    <row r="58" spans="4:9" ht="14.25" hidden="1">
      <c r="D58" s="122"/>
      <c r="E58" s="122"/>
      <c r="F58" s="122"/>
      <c r="G58" s="122"/>
      <c r="H58" s="122"/>
      <c r="I58" s="122"/>
    </row>
    <row r="60" spans="4:10" ht="15">
      <c r="D60" s="119" t="s">
        <v>28</v>
      </c>
      <c r="E60" s="120"/>
      <c r="F60" s="120"/>
      <c r="G60" s="121"/>
      <c r="H60" s="117" t="s">
        <v>31</v>
      </c>
      <c r="I60" s="117" t="s">
        <v>41</v>
      </c>
      <c r="J60" s="117" t="s">
        <v>42</v>
      </c>
    </row>
    <row r="61" spans="4:10" ht="30">
      <c r="D61" s="53" t="s">
        <v>35</v>
      </c>
      <c r="E61" s="53" t="s">
        <v>29</v>
      </c>
      <c r="F61" s="53" t="s">
        <v>36</v>
      </c>
      <c r="G61" s="53" t="s">
        <v>30</v>
      </c>
      <c r="H61" s="118"/>
      <c r="I61" s="118"/>
      <c r="J61" s="118"/>
    </row>
    <row r="62" spans="4:13" ht="14.25">
      <c r="D62" s="49">
        <v>0</v>
      </c>
      <c r="E62" s="49">
        <v>6000</v>
      </c>
      <c r="F62" s="49">
        <f>+D62*$E$33</f>
        <v>0</v>
      </c>
      <c r="G62" s="49">
        <f>+E62*$E$33</f>
        <v>205620000</v>
      </c>
      <c r="H62" s="50">
        <v>0.034</v>
      </c>
      <c r="I62" s="50">
        <v>0.08</v>
      </c>
      <c r="J62" s="50">
        <f>+H62+I62</f>
        <v>0.114</v>
      </c>
      <c r="M62" s="46">
        <f>+E63/6</f>
        <v>2500</v>
      </c>
    </row>
    <row r="63" spans="4:13" ht="14.25">
      <c r="D63" s="49">
        <v>6000</v>
      </c>
      <c r="E63" s="49">
        <v>15000</v>
      </c>
      <c r="F63" s="49">
        <f>+D63*$E$33</f>
        <v>205620000</v>
      </c>
      <c r="G63" s="49">
        <f>+E63*$E$33</f>
        <v>514050000</v>
      </c>
      <c r="H63" s="50">
        <v>0.038</v>
      </c>
      <c r="I63" s="50">
        <v>0.08</v>
      </c>
      <c r="J63" s="50">
        <f>+H63+I63</f>
        <v>0.118</v>
      </c>
      <c r="M63" s="46">
        <f>+E64/6</f>
        <v>5000</v>
      </c>
    </row>
    <row r="64" spans="4:13" ht="14.25">
      <c r="D64" s="49">
        <v>15000</v>
      </c>
      <c r="E64" s="49">
        <v>30000</v>
      </c>
      <c r="F64" s="49">
        <f>+D64*$E$33</f>
        <v>514050000</v>
      </c>
      <c r="G64" s="49">
        <f>+E64*$E$33</f>
        <v>1028100000</v>
      </c>
      <c r="H64" s="50">
        <v>0.055</v>
      </c>
      <c r="I64" s="50">
        <v>0.08</v>
      </c>
      <c r="J64" s="50">
        <f>+H64+I64</f>
        <v>0.135</v>
      </c>
      <c r="M64" s="46">
        <f>+E65/6</f>
        <v>13333.333333333334</v>
      </c>
    </row>
    <row r="65" spans="4:13" ht="14.25">
      <c r="D65" s="49">
        <v>30000</v>
      </c>
      <c r="E65" s="49">
        <v>80000</v>
      </c>
      <c r="F65" s="49">
        <f>+D65*$E$33</f>
        <v>1028100000</v>
      </c>
      <c r="G65" s="49">
        <f>+E65*$E$33</f>
        <v>2741600000</v>
      </c>
      <c r="H65" s="50">
        <v>0.07</v>
      </c>
      <c r="I65" s="50">
        <v>0.08</v>
      </c>
      <c r="J65" s="50">
        <f>+H65+I65</f>
        <v>0.15000000000000002</v>
      </c>
      <c r="M65" s="46">
        <f>+E66/6</f>
        <v>0</v>
      </c>
    </row>
    <row r="67" spans="4:5" ht="14.25">
      <c r="D67" s="46" t="s">
        <v>8</v>
      </c>
      <c r="E67" s="52">
        <f>+E50</f>
        <v>34270</v>
      </c>
    </row>
  </sheetData>
  <sheetProtection/>
  <mergeCells count="14">
    <mergeCell ref="D7:I7"/>
    <mergeCell ref="D36:I41"/>
    <mergeCell ref="D26:G26"/>
    <mergeCell ref="D43:G43"/>
    <mergeCell ref="D53:I58"/>
    <mergeCell ref="J60:J61"/>
    <mergeCell ref="D60:G60"/>
    <mergeCell ref="H9:H10"/>
    <mergeCell ref="H26:H27"/>
    <mergeCell ref="H43:H44"/>
    <mergeCell ref="H60:H61"/>
    <mergeCell ref="D9:G9"/>
    <mergeCell ref="D19:I24"/>
    <mergeCell ref="I60:I6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rgb="FF00B050"/>
  </sheetPr>
  <dimension ref="A5:I12"/>
  <sheetViews>
    <sheetView zoomScalePageLayoutView="0" workbookViewId="0" topLeftCell="A1">
      <selection activeCell="C7" sqref="C7:O12"/>
    </sheetView>
  </sheetViews>
  <sheetFormatPr defaultColWidth="12" defaultRowHeight="10.5"/>
  <cols>
    <col min="1" max="1" width="2.33203125" style="0" customWidth="1"/>
    <col min="2" max="2" width="13.16015625" style="0" customWidth="1"/>
    <col min="3" max="3" width="10.16015625" style="0" bestFit="1" customWidth="1"/>
    <col min="4" max="4" width="18.66015625" style="0" customWidth="1"/>
    <col min="5" max="5" width="19.16015625" style="0" customWidth="1"/>
    <col min="6" max="6" width="15.5" style="0" customWidth="1"/>
    <col min="7" max="7" width="15.33203125" style="0" customWidth="1"/>
    <col min="8" max="8" width="14.5" style="0" customWidth="1"/>
    <col min="9" max="9" width="15.66015625" style="0" customWidth="1"/>
  </cols>
  <sheetData>
    <row r="5" spans="1:9" ht="15" customHeight="1">
      <c r="A5" s="54"/>
      <c r="B5" s="119" t="s">
        <v>28</v>
      </c>
      <c r="C5" s="120"/>
      <c r="D5" s="120"/>
      <c r="E5" s="121"/>
      <c r="F5" s="117" t="s">
        <v>37</v>
      </c>
      <c r="G5" s="117" t="s">
        <v>38</v>
      </c>
      <c r="H5" s="117" t="s">
        <v>39</v>
      </c>
      <c r="I5" s="117" t="s">
        <v>40</v>
      </c>
    </row>
    <row r="6" spans="2:9" ht="45">
      <c r="B6" s="53" t="s">
        <v>35</v>
      </c>
      <c r="C6" s="53" t="s">
        <v>29</v>
      </c>
      <c r="D6" s="53" t="s">
        <v>36</v>
      </c>
      <c r="E6" s="53" t="s">
        <v>30</v>
      </c>
      <c r="F6" s="118"/>
      <c r="G6" s="118"/>
      <c r="H6" s="118"/>
      <c r="I6" s="118"/>
    </row>
    <row r="7" spans="2:9" ht="14.25">
      <c r="B7" s="49">
        <v>0</v>
      </c>
      <c r="C7" s="49">
        <v>6000</v>
      </c>
      <c r="D7" s="49">
        <f aca="true" t="shared" si="0" ref="D7:E10">+B7*$E$12</f>
        <v>0</v>
      </c>
      <c r="E7" s="49">
        <f t="shared" si="0"/>
        <v>205620000</v>
      </c>
      <c r="F7" s="50">
        <v>0.02</v>
      </c>
      <c r="G7" s="50">
        <v>0.018</v>
      </c>
      <c r="H7" s="50">
        <v>0.049</v>
      </c>
      <c r="I7" s="50">
        <v>0.034</v>
      </c>
    </row>
    <row r="8" spans="2:9" ht="14.25">
      <c r="B8" s="49">
        <v>6000</v>
      </c>
      <c r="C8" s="49">
        <v>15000</v>
      </c>
      <c r="D8" s="49">
        <f t="shared" si="0"/>
        <v>205620000</v>
      </c>
      <c r="E8" s="49">
        <f t="shared" si="0"/>
        <v>514050000</v>
      </c>
      <c r="F8" s="50">
        <v>0.028</v>
      </c>
      <c r="G8" s="50">
        <v>0.022</v>
      </c>
      <c r="H8" s="50">
        <v>0.053</v>
      </c>
      <c r="I8" s="50">
        <v>0.038</v>
      </c>
    </row>
    <row r="9" spans="2:9" ht="14.25">
      <c r="B9" s="49">
        <v>15000</v>
      </c>
      <c r="C9" s="49">
        <v>30000</v>
      </c>
      <c r="D9" s="49">
        <f t="shared" si="0"/>
        <v>514050000</v>
      </c>
      <c r="E9" s="49">
        <f t="shared" si="0"/>
        <v>1028100000</v>
      </c>
      <c r="F9" s="50">
        <v>0.081</v>
      </c>
      <c r="G9" s="50">
        <v>0.039</v>
      </c>
      <c r="H9" s="50">
        <v>0.07</v>
      </c>
      <c r="I9" s="50">
        <v>0.055</v>
      </c>
    </row>
    <row r="10" spans="2:9" ht="14.25">
      <c r="B10" s="49">
        <v>30000</v>
      </c>
      <c r="C10" s="49">
        <v>80000</v>
      </c>
      <c r="D10" s="49">
        <f t="shared" si="0"/>
        <v>1028100000</v>
      </c>
      <c r="E10" s="49">
        <f t="shared" si="0"/>
        <v>2741600000</v>
      </c>
      <c r="F10" s="50">
        <v>0.116</v>
      </c>
      <c r="G10" s="50">
        <v>0.054</v>
      </c>
      <c r="H10" s="50">
        <v>0.085</v>
      </c>
      <c r="I10" s="50">
        <v>0.07</v>
      </c>
    </row>
    <row r="11" spans="4:6" ht="14.25">
      <c r="D11" s="46"/>
      <c r="E11" s="46"/>
      <c r="F11" s="46"/>
    </row>
    <row r="12" spans="4:6" ht="14.25">
      <c r="D12" s="46" t="s">
        <v>8</v>
      </c>
      <c r="E12" s="52">
        <v>34270</v>
      </c>
      <c r="F12" s="46"/>
    </row>
  </sheetData>
  <sheetProtection/>
  <mergeCells count="5">
    <mergeCell ref="B5:E5"/>
    <mergeCell ref="F5:F6"/>
    <mergeCell ref="G5:G6"/>
    <mergeCell ref="H5:H6"/>
    <mergeCell ref="I5:I6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rgb="FF00B0F0"/>
  </sheetPr>
  <dimension ref="B2:J67"/>
  <sheetViews>
    <sheetView zoomScale="115" zoomScaleNormal="115" zoomScalePageLayoutView="0" workbookViewId="0" topLeftCell="C1">
      <pane ySplit="3" topLeftCell="A54" activePane="bottomLeft" state="frozen"/>
      <selection pane="topLeft" activeCell="C7" sqref="C7:O12"/>
      <selection pane="bottomLeft" activeCell="C7" sqref="C7:O12"/>
    </sheetView>
  </sheetViews>
  <sheetFormatPr defaultColWidth="12" defaultRowHeight="10.5"/>
  <cols>
    <col min="1" max="1" width="0.82421875" style="46" hidden="1" customWidth="1"/>
    <col min="2" max="2" width="2" style="46" hidden="1" customWidth="1"/>
    <col min="3" max="3" width="2" style="46" customWidth="1"/>
    <col min="4" max="4" width="18.16015625" style="46" customWidth="1"/>
    <col min="5" max="5" width="13.83203125" style="46" customWidth="1"/>
    <col min="6" max="7" width="21.33203125" style="46" customWidth="1"/>
    <col min="8" max="8" width="16.66015625" style="46" customWidth="1"/>
    <col min="9" max="9" width="15.66015625" style="46" customWidth="1"/>
    <col min="10" max="10" width="16" style="46" customWidth="1"/>
    <col min="11" max="16384" width="12" style="46" customWidth="1"/>
  </cols>
  <sheetData>
    <row r="1" ht="5.25" customHeight="1"/>
    <row r="2" ht="15">
      <c r="D2" s="47" t="s">
        <v>2</v>
      </c>
    </row>
    <row r="3" ht="15">
      <c r="D3" s="47" t="s">
        <v>0</v>
      </c>
    </row>
    <row r="4" ht="6.75" customHeight="1"/>
    <row r="5" ht="14.25" hidden="1"/>
    <row r="6" ht="14.25" hidden="1"/>
    <row r="7" spans="4:9" ht="15" customHeight="1">
      <c r="D7" s="122" t="s">
        <v>27</v>
      </c>
      <c r="E7" s="122"/>
      <c r="F7" s="122"/>
      <c r="G7" s="122"/>
      <c r="H7" s="122"/>
      <c r="I7" s="122"/>
    </row>
    <row r="9" spans="4:8" ht="15">
      <c r="D9" s="119" t="s">
        <v>44</v>
      </c>
      <c r="E9" s="120"/>
      <c r="F9" s="120"/>
      <c r="G9" s="121"/>
      <c r="H9" s="117" t="s">
        <v>43</v>
      </c>
    </row>
    <row r="10" spans="4:8" ht="27.75" customHeight="1">
      <c r="D10" s="53" t="s">
        <v>35</v>
      </c>
      <c r="E10" s="53" t="s">
        <v>29</v>
      </c>
      <c r="F10" s="53" t="s">
        <v>36</v>
      </c>
      <c r="G10" s="53" t="s">
        <v>30</v>
      </c>
      <c r="H10" s="118"/>
    </row>
    <row r="11" spans="2:8" ht="14.25">
      <c r="B11" s="48" t="e">
        <f>IF(AND(#REF!&gt;F12,#REF!&lt;G12),H12,0)</f>
        <v>#REF!</v>
      </c>
      <c r="C11" s="48"/>
      <c r="D11" s="49">
        <v>0</v>
      </c>
      <c r="E11" s="49">
        <v>1000</v>
      </c>
      <c r="F11" s="49">
        <f>+D11*$E$16</f>
        <v>0</v>
      </c>
      <c r="G11" s="49">
        <f>+E11*$E$16</f>
        <v>34270000</v>
      </c>
      <c r="H11" s="50">
        <v>0.02</v>
      </c>
    </row>
    <row r="12" spans="2:8" ht="14.25">
      <c r="B12" s="48" t="e">
        <f>IF(AND(#REF!&gt;F13,#REF!&lt;G13),H13,0)</f>
        <v>#REF!</v>
      </c>
      <c r="C12" s="48"/>
      <c r="D12" s="49">
        <v>1000</v>
      </c>
      <c r="E12" s="49">
        <v>2500</v>
      </c>
      <c r="F12" s="49">
        <f aca="true" t="shared" si="0" ref="F12:G14">+D12*$E$16</f>
        <v>34270000</v>
      </c>
      <c r="G12" s="49">
        <f t="shared" si="0"/>
        <v>85675000</v>
      </c>
      <c r="H12" s="50">
        <v>0.028</v>
      </c>
    </row>
    <row r="13" spans="2:8" ht="14.25">
      <c r="B13" s="48" t="e">
        <f>IF(AND(#REF!&gt;F14,#REF!&lt;G14),H14,0)</f>
        <v>#REF!</v>
      </c>
      <c r="C13" s="48"/>
      <c r="D13" s="49">
        <v>2500</v>
      </c>
      <c r="E13" s="49">
        <v>5000</v>
      </c>
      <c r="F13" s="49">
        <f t="shared" si="0"/>
        <v>85675000</v>
      </c>
      <c r="G13" s="49">
        <f t="shared" si="0"/>
        <v>171350000</v>
      </c>
      <c r="H13" s="50">
        <v>0.081</v>
      </c>
    </row>
    <row r="14" spans="2:8" ht="14.25">
      <c r="B14" s="51" t="e">
        <f>SUM(B11:B13)</f>
        <v>#REF!</v>
      </c>
      <c r="C14" s="51"/>
      <c r="D14" s="49">
        <v>5000</v>
      </c>
      <c r="E14" s="49">
        <v>13334</v>
      </c>
      <c r="F14" s="49">
        <f t="shared" si="0"/>
        <v>171350000</v>
      </c>
      <c r="G14" s="49">
        <f t="shared" si="0"/>
        <v>456956180</v>
      </c>
      <c r="H14" s="50">
        <v>0.116</v>
      </c>
    </row>
    <row r="15" ht="6.75" customHeight="1"/>
    <row r="16" spans="4:5" ht="14.25">
      <c r="D16" s="46" t="s">
        <v>8</v>
      </c>
      <c r="E16" s="52">
        <v>34270</v>
      </c>
    </row>
    <row r="19" spans="4:9" ht="14.25">
      <c r="D19" s="122" t="s">
        <v>32</v>
      </c>
      <c r="E19" s="122"/>
      <c r="F19" s="122"/>
      <c r="G19" s="122"/>
      <c r="H19" s="122"/>
      <c r="I19" s="122"/>
    </row>
    <row r="20" spans="4:9" ht="14.25">
      <c r="D20" s="122"/>
      <c r="E20" s="122"/>
      <c r="F20" s="122"/>
      <c r="G20" s="122"/>
      <c r="H20" s="122"/>
      <c r="I20" s="122"/>
    </row>
    <row r="21" spans="4:9" ht="14.25">
      <c r="D21" s="122"/>
      <c r="E21" s="122"/>
      <c r="F21" s="122"/>
      <c r="G21" s="122"/>
      <c r="H21" s="122"/>
      <c r="I21" s="122"/>
    </row>
    <row r="22" spans="4:9" ht="14.25" hidden="1">
      <c r="D22" s="122"/>
      <c r="E22" s="122"/>
      <c r="F22" s="122"/>
      <c r="G22" s="122"/>
      <c r="H22" s="122"/>
      <c r="I22" s="122"/>
    </row>
    <row r="23" spans="4:9" ht="9.75" customHeight="1">
      <c r="D23" s="122"/>
      <c r="E23" s="122"/>
      <c r="F23" s="122"/>
      <c r="G23" s="122"/>
      <c r="H23" s="122"/>
      <c r="I23" s="122"/>
    </row>
    <row r="24" spans="4:9" ht="14.25">
      <c r="D24" s="122"/>
      <c r="E24" s="122"/>
      <c r="F24" s="122"/>
      <c r="G24" s="122"/>
      <c r="H24" s="122"/>
      <c r="I24" s="122"/>
    </row>
    <row r="26" spans="4:8" ht="15">
      <c r="D26" s="119" t="s">
        <v>28</v>
      </c>
      <c r="E26" s="120"/>
      <c r="F26" s="120"/>
      <c r="G26" s="121"/>
      <c r="H26" s="117" t="s">
        <v>31</v>
      </c>
    </row>
    <row r="27" spans="4:8" ht="45">
      <c r="D27" s="53" t="s">
        <v>35</v>
      </c>
      <c r="E27" s="53" t="s">
        <v>29</v>
      </c>
      <c r="F27" s="53" t="s">
        <v>36</v>
      </c>
      <c r="G27" s="53" t="s">
        <v>30</v>
      </c>
      <c r="H27" s="118"/>
    </row>
    <row r="28" spans="4:8" ht="14.25">
      <c r="D28" s="49">
        <v>0</v>
      </c>
      <c r="E28" s="49">
        <v>1000</v>
      </c>
      <c r="F28" s="49">
        <f>+D28*$E$33</f>
        <v>0</v>
      </c>
      <c r="G28" s="49">
        <f>+E28*$E$33</f>
        <v>34270000</v>
      </c>
      <c r="H28" s="50">
        <v>0.018</v>
      </c>
    </row>
    <row r="29" spans="4:8" ht="14.25">
      <c r="D29" s="49">
        <v>1000</v>
      </c>
      <c r="E29" s="49">
        <v>2500</v>
      </c>
      <c r="F29" s="49">
        <f aca="true" t="shared" si="1" ref="F29:G31">+D29*$E$33</f>
        <v>34270000</v>
      </c>
      <c r="G29" s="49">
        <f t="shared" si="1"/>
        <v>85675000</v>
      </c>
      <c r="H29" s="50">
        <v>0.022</v>
      </c>
    </row>
    <row r="30" spans="4:8" ht="14.25">
      <c r="D30" s="49">
        <v>2500</v>
      </c>
      <c r="E30" s="49">
        <v>5000</v>
      </c>
      <c r="F30" s="49">
        <f t="shared" si="1"/>
        <v>85675000</v>
      </c>
      <c r="G30" s="49">
        <f t="shared" si="1"/>
        <v>171350000</v>
      </c>
      <c r="H30" s="50">
        <v>0.039</v>
      </c>
    </row>
    <row r="31" spans="4:8" ht="14.25">
      <c r="D31" s="49">
        <v>5000</v>
      </c>
      <c r="E31" s="49">
        <v>13334</v>
      </c>
      <c r="F31" s="49">
        <f t="shared" si="1"/>
        <v>171350000</v>
      </c>
      <c r="G31" s="49">
        <f t="shared" si="1"/>
        <v>456956180</v>
      </c>
      <c r="H31" s="50">
        <v>0.054</v>
      </c>
    </row>
    <row r="33" spans="4:5" ht="14.25">
      <c r="D33" s="46" t="s">
        <v>8</v>
      </c>
      <c r="E33" s="52">
        <f>+E16</f>
        <v>34270</v>
      </c>
    </row>
    <row r="34" ht="14.25">
      <c r="E34" s="52"/>
    </row>
    <row r="36" spans="4:9" ht="14.25">
      <c r="D36" s="122" t="s">
        <v>33</v>
      </c>
      <c r="E36" s="122"/>
      <c r="F36" s="122"/>
      <c r="G36" s="122"/>
      <c r="H36" s="122"/>
      <c r="I36" s="122"/>
    </row>
    <row r="37" spans="4:9" ht="14.25">
      <c r="D37" s="122"/>
      <c r="E37" s="122"/>
      <c r="F37" s="122"/>
      <c r="G37" s="122"/>
      <c r="H37" s="122"/>
      <c r="I37" s="122"/>
    </row>
    <row r="38" spans="4:9" ht="14.25">
      <c r="D38" s="122"/>
      <c r="E38" s="122"/>
      <c r="F38" s="122"/>
      <c r="G38" s="122"/>
      <c r="H38" s="122"/>
      <c r="I38" s="122"/>
    </row>
    <row r="39" spans="4:9" ht="4.5" customHeight="1">
      <c r="D39" s="122"/>
      <c r="E39" s="122"/>
      <c r="F39" s="122"/>
      <c r="G39" s="122"/>
      <c r="H39" s="122"/>
      <c r="I39" s="122"/>
    </row>
    <row r="40" spans="4:9" ht="14.25" hidden="1">
      <c r="D40" s="122"/>
      <c r="E40" s="122"/>
      <c r="F40" s="122"/>
      <c r="G40" s="122"/>
      <c r="H40" s="122"/>
      <c r="I40" s="122"/>
    </row>
    <row r="41" spans="4:9" ht="14.25" hidden="1">
      <c r="D41" s="122"/>
      <c r="E41" s="122"/>
      <c r="F41" s="122"/>
      <c r="G41" s="122"/>
      <c r="H41" s="122"/>
      <c r="I41" s="122"/>
    </row>
    <row r="43" spans="4:8" ht="15">
      <c r="D43" s="119" t="s">
        <v>28</v>
      </c>
      <c r="E43" s="120"/>
      <c r="F43" s="120"/>
      <c r="G43" s="121"/>
      <c r="H43" s="117" t="s">
        <v>31</v>
      </c>
    </row>
    <row r="44" spans="4:8" ht="45">
      <c r="D44" s="53" t="s">
        <v>35</v>
      </c>
      <c r="E44" s="53" t="s">
        <v>29</v>
      </c>
      <c r="F44" s="53" t="s">
        <v>36</v>
      </c>
      <c r="G44" s="53" t="s">
        <v>30</v>
      </c>
      <c r="H44" s="118"/>
    </row>
    <row r="45" spans="4:8" ht="14.25">
      <c r="D45" s="49">
        <v>0</v>
      </c>
      <c r="E45" s="49">
        <v>1000</v>
      </c>
      <c r="F45" s="49">
        <f>+D45*$E$33</f>
        <v>0</v>
      </c>
      <c r="G45" s="49">
        <f>+E45*$E$33</f>
        <v>34270000</v>
      </c>
      <c r="H45" s="50">
        <v>0.049</v>
      </c>
    </row>
    <row r="46" spans="4:8" ht="14.25">
      <c r="D46" s="49">
        <v>1000</v>
      </c>
      <c r="E46" s="49">
        <v>2500</v>
      </c>
      <c r="F46" s="49">
        <f aca="true" t="shared" si="2" ref="F46:G48">+D46*$E$33</f>
        <v>34270000</v>
      </c>
      <c r="G46" s="49">
        <f t="shared" si="2"/>
        <v>85675000</v>
      </c>
      <c r="H46" s="50">
        <v>0.053</v>
      </c>
    </row>
    <row r="47" spans="4:8" ht="14.25">
      <c r="D47" s="49">
        <v>2500</v>
      </c>
      <c r="E47" s="49">
        <v>5000</v>
      </c>
      <c r="F47" s="49">
        <f t="shared" si="2"/>
        <v>85675000</v>
      </c>
      <c r="G47" s="49">
        <f t="shared" si="2"/>
        <v>171350000</v>
      </c>
      <c r="H47" s="50">
        <v>0.07</v>
      </c>
    </row>
    <row r="48" spans="4:8" ht="14.25">
      <c r="D48" s="49">
        <v>5000</v>
      </c>
      <c r="E48" s="49">
        <v>13334</v>
      </c>
      <c r="F48" s="49">
        <f t="shared" si="2"/>
        <v>171350000</v>
      </c>
      <c r="G48" s="49">
        <f t="shared" si="2"/>
        <v>456956180</v>
      </c>
      <c r="H48" s="50">
        <v>0.085</v>
      </c>
    </row>
    <row r="50" spans="4:5" ht="14.25">
      <c r="D50" s="46" t="s">
        <v>8</v>
      </c>
      <c r="E50" s="52">
        <f>+E33</f>
        <v>34270</v>
      </c>
    </row>
    <row r="53" spans="4:9" ht="14.25">
      <c r="D53" s="122" t="s">
        <v>34</v>
      </c>
      <c r="E53" s="122"/>
      <c r="F53" s="122"/>
      <c r="G53" s="122"/>
      <c r="H53" s="122"/>
      <c r="I53" s="122"/>
    </row>
    <row r="54" spans="4:9" ht="3.75" customHeight="1">
      <c r="D54" s="122"/>
      <c r="E54" s="122"/>
      <c r="F54" s="122"/>
      <c r="G54" s="122"/>
      <c r="H54" s="122"/>
      <c r="I54" s="122"/>
    </row>
    <row r="55" spans="4:9" ht="14.25" hidden="1">
      <c r="D55" s="122"/>
      <c r="E55" s="122"/>
      <c r="F55" s="122"/>
      <c r="G55" s="122"/>
      <c r="H55" s="122"/>
      <c r="I55" s="122"/>
    </row>
    <row r="56" spans="4:9" ht="14.25" hidden="1">
      <c r="D56" s="122"/>
      <c r="E56" s="122"/>
      <c r="F56" s="122"/>
      <c r="G56" s="122"/>
      <c r="H56" s="122"/>
      <c r="I56" s="122"/>
    </row>
    <row r="57" spans="4:9" ht="14.25" hidden="1">
      <c r="D57" s="122"/>
      <c r="E57" s="122"/>
      <c r="F57" s="122"/>
      <c r="G57" s="122"/>
      <c r="H57" s="122"/>
      <c r="I57" s="122"/>
    </row>
    <row r="58" spans="4:9" ht="14.25" hidden="1">
      <c r="D58" s="122"/>
      <c r="E58" s="122"/>
      <c r="F58" s="122"/>
      <c r="G58" s="122"/>
      <c r="H58" s="122"/>
      <c r="I58" s="122"/>
    </row>
    <row r="60" spans="4:10" ht="15">
      <c r="D60" s="119" t="s">
        <v>28</v>
      </c>
      <c r="E60" s="120"/>
      <c r="F60" s="120"/>
      <c r="G60" s="121"/>
      <c r="H60" s="117" t="s">
        <v>31</v>
      </c>
      <c r="I60" s="117" t="s">
        <v>41</v>
      </c>
      <c r="J60" s="117" t="s">
        <v>42</v>
      </c>
    </row>
    <row r="61" spans="4:10" ht="45">
      <c r="D61" s="53" t="s">
        <v>35</v>
      </c>
      <c r="E61" s="53" t="s">
        <v>29</v>
      </c>
      <c r="F61" s="53" t="s">
        <v>36</v>
      </c>
      <c r="G61" s="53" t="s">
        <v>30</v>
      </c>
      <c r="H61" s="118"/>
      <c r="I61" s="118"/>
      <c r="J61" s="118"/>
    </row>
    <row r="62" spans="4:10" ht="14.25">
      <c r="D62" s="49">
        <v>0</v>
      </c>
      <c r="E62" s="49">
        <v>1000</v>
      </c>
      <c r="F62" s="49">
        <f>+D62*$E$33</f>
        <v>0</v>
      </c>
      <c r="G62" s="49">
        <f>+E62*$E$33</f>
        <v>34270000</v>
      </c>
      <c r="H62" s="50">
        <v>0.034</v>
      </c>
      <c r="I62" s="50">
        <v>0.08</v>
      </c>
      <c r="J62" s="50">
        <f>+H62+I62</f>
        <v>0.114</v>
      </c>
    </row>
    <row r="63" spans="4:10" ht="14.25">
      <c r="D63" s="49">
        <v>1000</v>
      </c>
      <c r="E63" s="49">
        <v>2500</v>
      </c>
      <c r="F63" s="49">
        <f aca="true" t="shared" si="3" ref="F63:G65">+D63*$E$33</f>
        <v>34270000</v>
      </c>
      <c r="G63" s="49">
        <f t="shared" si="3"/>
        <v>85675000</v>
      </c>
      <c r="H63" s="50">
        <v>0.038</v>
      </c>
      <c r="I63" s="50">
        <v>0.08</v>
      </c>
      <c r="J63" s="50">
        <f>+H63+I63</f>
        <v>0.118</v>
      </c>
    </row>
    <row r="64" spans="4:10" ht="14.25">
      <c r="D64" s="49">
        <v>2500</v>
      </c>
      <c r="E64" s="49">
        <v>5000</v>
      </c>
      <c r="F64" s="49">
        <f t="shared" si="3"/>
        <v>85675000</v>
      </c>
      <c r="G64" s="49">
        <f t="shared" si="3"/>
        <v>171350000</v>
      </c>
      <c r="H64" s="50">
        <v>0.055</v>
      </c>
      <c r="I64" s="50">
        <v>0.08</v>
      </c>
      <c r="J64" s="50">
        <f>+H64+I64</f>
        <v>0.135</v>
      </c>
    </row>
    <row r="65" spans="4:10" ht="14.25">
      <c r="D65" s="49">
        <v>5000</v>
      </c>
      <c r="E65" s="49">
        <v>13334</v>
      </c>
      <c r="F65" s="49">
        <f t="shared" si="3"/>
        <v>171350000</v>
      </c>
      <c r="G65" s="49">
        <f t="shared" si="3"/>
        <v>456956180</v>
      </c>
      <c r="H65" s="50">
        <v>0.07</v>
      </c>
      <c r="I65" s="50">
        <v>0.08</v>
      </c>
      <c r="J65" s="50">
        <f>+H65+I65</f>
        <v>0.15000000000000002</v>
      </c>
    </row>
    <row r="67" spans="4:5" ht="14.25">
      <c r="D67" s="46" t="s">
        <v>8</v>
      </c>
      <c r="E67" s="52">
        <f>+E50</f>
        <v>34270</v>
      </c>
    </row>
  </sheetData>
  <sheetProtection/>
  <mergeCells count="14">
    <mergeCell ref="D7:I7"/>
    <mergeCell ref="D9:G9"/>
    <mergeCell ref="H9:H10"/>
    <mergeCell ref="D19:I24"/>
    <mergeCell ref="D26:G26"/>
    <mergeCell ref="H26:H27"/>
    <mergeCell ref="J60:J61"/>
    <mergeCell ref="D36:I41"/>
    <mergeCell ref="D43:G43"/>
    <mergeCell ref="H43:H44"/>
    <mergeCell ref="D53:I58"/>
    <mergeCell ref="D60:G60"/>
    <mergeCell ref="H60:H61"/>
    <mergeCell ref="I60:I61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tabColor rgb="FF00B0F0"/>
  </sheetPr>
  <dimension ref="A5:I20"/>
  <sheetViews>
    <sheetView zoomScalePageLayoutView="0" workbookViewId="0" topLeftCell="A1">
      <selection activeCell="C7" sqref="C7:O12"/>
    </sheetView>
  </sheetViews>
  <sheetFormatPr defaultColWidth="12" defaultRowHeight="10.5"/>
  <cols>
    <col min="1" max="1" width="11.5" style="0" customWidth="1"/>
    <col min="2" max="2" width="11.83203125" style="0" customWidth="1"/>
    <col min="3" max="3" width="10.16015625" style="0" bestFit="1" customWidth="1"/>
    <col min="4" max="4" width="18.66015625" style="0" customWidth="1"/>
    <col min="5" max="5" width="19.16015625" style="0" customWidth="1"/>
    <col min="6" max="6" width="15.5" style="0" customWidth="1"/>
    <col min="7" max="7" width="15.33203125" style="0" customWidth="1"/>
    <col min="8" max="8" width="14.5" style="0" customWidth="1"/>
    <col min="9" max="9" width="15.66015625" style="0" customWidth="1"/>
  </cols>
  <sheetData>
    <row r="5" spans="1:9" ht="15" customHeight="1">
      <c r="A5" s="54"/>
      <c r="B5" s="119" t="s">
        <v>45</v>
      </c>
      <c r="C5" s="120"/>
      <c r="D5" s="120"/>
      <c r="E5" s="121"/>
      <c r="F5" s="117" t="s">
        <v>37</v>
      </c>
      <c r="G5" s="117" t="s">
        <v>38</v>
      </c>
      <c r="H5" s="117" t="s">
        <v>39</v>
      </c>
      <c r="I5" s="117" t="s">
        <v>40</v>
      </c>
    </row>
    <row r="6" spans="2:9" ht="45">
      <c r="B6" s="53" t="s">
        <v>35</v>
      </c>
      <c r="C6" s="53" t="s">
        <v>29</v>
      </c>
      <c r="D6" s="53" t="s">
        <v>36</v>
      </c>
      <c r="E6" s="53" t="s">
        <v>30</v>
      </c>
      <c r="F6" s="118"/>
      <c r="G6" s="118"/>
      <c r="H6" s="118"/>
      <c r="I6" s="118"/>
    </row>
    <row r="7" spans="2:9" ht="14.25">
      <c r="B7" s="49">
        <v>0</v>
      </c>
      <c r="C7" s="49">
        <v>1000</v>
      </c>
      <c r="D7" s="49">
        <f aca="true" t="shared" si="0" ref="D7:E10">+B7*$E$12</f>
        <v>0</v>
      </c>
      <c r="E7" s="49">
        <f t="shared" si="0"/>
        <v>34270000</v>
      </c>
      <c r="F7" s="50">
        <v>0.02</v>
      </c>
      <c r="G7" s="50">
        <v>0.018</v>
      </c>
      <c r="H7" s="50">
        <v>0.049</v>
      </c>
      <c r="I7" s="50">
        <v>0.034</v>
      </c>
    </row>
    <row r="8" spans="2:9" ht="14.25">
      <c r="B8" s="49">
        <v>1000</v>
      </c>
      <c r="C8" s="49">
        <v>2500</v>
      </c>
      <c r="D8" s="49">
        <f t="shared" si="0"/>
        <v>34270000</v>
      </c>
      <c r="E8" s="49">
        <f t="shared" si="0"/>
        <v>85675000</v>
      </c>
      <c r="F8" s="50">
        <v>0.028</v>
      </c>
      <c r="G8" s="50">
        <v>0.022</v>
      </c>
      <c r="H8" s="50">
        <v>0.053</v>
      </c>
      <c r="I8" s="50">
        <v>0.038</v>
      </c>
    </row>
    <row r="9" spans="2:9" ht="14.25">
      <c r="B9" s="49">
        <v>2500</v>
      </c>
      <c r="C9" s="49">
        <v>5000</v>
      </c>
      <c r="D9" s="49">
        <f t="shared" si="0"/>
        <v>85675000</v>
      </c>
      <c r="E9" s="49">
        <f t="shared" si="0"/>
        <v>171350000</v>
      </c>
      <c r="F9" s="50">
        <v>0.081</v>
      </c>
      <c r="G9" s="50">
        <v>0.039</v>
      </c>
      <c r="H9" s="50">
        <v>0.07</v>
      </c>
      <c r="I9" s="50">
        <v>0.055</v>
      </c>
    </row>
    <row r="10" spans="2:9" ht="14.25">
      <c r="B10" s="49">
        <v>5000</v>
      </c>
      <c r="C10" s="49">
        <v>13334</v>
      </c>
      <c r="D10" s="49">
        <f t="shared" si="0"/>
        <v>171350000</v>
      </c>
      <c r="E10" s="49">
        <f t="shared" si="0"/>
        <v>456956180</v>
      </c>
      <c r="F10" s="50">
        <v>0.116</v>
      </c>
      <c r="G10" s="50">
        <v>0.054</v>
      </c>
      <c r="H10" s="50">
        <v>0.085</v>
      </c>
      <c r="I10" s="50">
        <v>0.07</v>
      </c>
    </row>
    <row r="11" spans="4:6" ht="14.25">
      <c r="D11" s="46"/>
      <c r="E11" s="46"/>
      <c r="F11" s="46"/>
    </row>
    <row r="12" spans="4:6" ht="14.25">
      <c r="D12" s="46" t="s">
        <v>8</v>
      </c>
      <c r="E12" s="52">
        <v>34270</v>
      </c>
      <c r="F12" s="46"/>
    </row>
    <row r="20" ht="10.5">
      <c r="E20" s="55"/>
    </row>
  </sheetData>
  <sheetProtection/>
  <mergeCells count="5">
    <mergeCell ref="B5:E5"/>
    <mergeCell ref="F5:F6"/>
    <mergeCell ref="G5:G6"/>
    <mergeCell ref="H5:H6"/>
    <mergeCell ref="I5:I6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C3:F20"/>
  <sheetViews>
    <sheetView zoomScalePageLayoutView="0" workbookViewId="0" topLeftCell="A1">
      <selection activeCell="C7" sqref="C7:O12"/>
    </sheetView>
  </sheetViews>
  <sheetFormatPr defaultColWidth="12" defaultRowHeight="10.5"/>
  <cols>
    <col min="1" max="1" width="4.16015625" style="0" customWidth="1"/>
    <col min="3" max="3" width="16.83203125" style="0" bestFit="1" customWidth="1"/>
    <col min="6" max="6" width="15.5" style="0" bestFit="1" customWidth="1"/>
  </cols>
  <sheetData>
    <row r="3" ht="14.25">
      <c r="C3" s="26" t="s">
        <v>14</v>
      </c>
    </row>
    <row r="4" ht="14.25">
      <c r="C4" s="26" t="s">
        <v>13</v>
      </c>
    </row>
    <row r="5" ht="14.25">
      <c r="C5" s="26">
        <v>4.14</v>
      </c>
    </row>
    <row r="6" ht="14.25">
      <c r="C6" s="26">
        <v>6.9</v>
      </c>
    </row>
    <row r="7" ht="14.25">
      <c r="C7" s="26">
        <v>9.66</v>
      </c>
    </row>
    <row r="8" ht="14.25">
      <c r="C8" s="26">
        <v>11.04</v>
      </c>
    </row>
    <row r="9" spans="3:6" ht="14.25">
      <c r="C9" s="26">
        <v>13.8</v>
      </c>
      <c r="F9" s="2"/>
    </row>
    <row r="10" ht="10.5">
      <c r="F10" s="2"/>
    </row>
    <row r="11" ht="10.5">
      <c r="F11" s="2"/>
    </row>
    <row r="12" ht="10.5">
      <c r="F12" s="2"/>
    </row>
    <row r="13" spans="3:6" ht="10.5">
      <c r="C13" s="2"/>
      <c r="F13" s="2"/>
    </row>
    <row r="14" spans="3:6" ht="10.5">
      <c r="C14" s="2"/>
      <c r="F14" s="2"/>
    </row>
    <row r="15" spans="3:6" ht="10.5">
      <c r="C15" s="2"/>
      <c r="F15" s="2"/>
    </row>
    <row r="16" spans="3:6" ht="10.5">
      <c r="C16" s="2"/>
      <c r="F16" s="2"/>
    </row>
    <row r="17" spans="3:6" ht="10.5">
      <c r="C17" s="2"/>
      <c r="F17" s="2"/>
    </row>
    <row r="18" spans="3:6" ht="10.5">
      <c r="C18" s="25"/>
      <c r="F18" s="2"/>
    </row>
    <row r="19" ht="10.5">
      <c r="C19" s="2"/>
    </row>
    <row r="20" ht="10.5">
      <c r="C20" s="2"/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B2:S72"/>
  <sheetViews>
    <sheetView zoomScale="115" zoomScaleNormal="115" zoomScalePageLayoutView="0" workbookViewId="0" topLeftCell="A1">
      <pane ySplit="3" topLeftCell="A4" activePane="bottomLeft" state="frozen"/>
      <selection pane="topLeft" activeCell="L10" sqref="L10"/>
      <selection pane="bottomLeft" activeCell="C7" sqref="C7:O12"/>
    </sheetView>
  </sheetViews>
  <sheetFormatPr defaultColWidth="12" defaultRowHeight="10.5"/>
  <cols>
    <col min="1" max="1" width="0.82421875" style="0" hidden="1" customWidth="1"/>
    <col min="2" max="2" width="12" style="0" customWidth="1"/>
    <col min="3" max="3" width="9.33203125" style="0" customWidth="1"/>
    <col min="4" max="4" width="9" style="0" customWidth="1"/>
    <col min="5" max="5" width="17.33203125" style="0" customWidth="1"/>
    <col min="6" max="6" width="17.5" style="0" customWidth="1"/>
    <col min="7" max="7" width="7.16015625" style="0" customWidth="1"/>
    <col min="8" max="8" width="2.66015625" style="0" customWidth="1"/>
    <col min="9" max="9" width="18.83203125" style="0" customWidth="1"/>
    <col min="10" max="10" width="7.83203125" style="0" customWidth="1"/>
    <col min="11" max="11" width="17.33203125" style="0" bestFit="1" customWidth="1"/>
    <col min="12" max="12" width="14.33203125" style="0" customWidth="1"/>
    <col min="13" max="13" width="12" style="0" hidden="1" customWidth="1"/>
    <col min="14" max="14" width="11" style="0" customWidth="1"/>
    <col min="15" max="15" width="12" style="0" hidden="1" customWidth="1"/>
    <col min="16" max="16" width="13.5" style="0" bestFit="1" customWidth="1"/>
    <col min="17" max="17" width="3.66015625" style="0" customWidth="1"/>
    <col min="18" max="18" width="10" style="0" hidden="1" customWidth="1"/>
    <col min="19" max="19" width="9.16015625" style="0" hidden="1" customWidth="1"/>
  </cols>
  <sheetData>
    <row r="1" ht="5.25" customHeight="1"/>
    <row r="2" ht="15">
      <c r="C2" s="13" t="s">
        <v>2</v>
      </c>
    </row>
    <row r="3" ht="10.5">
      <c r="C3" s="12" t="s">
        <v>0</v>
      </c>
    </row>
    <row r="4" ht="6.75" customHeight="1"/>
    <row r="5" ht="10.5" hidden="1"/>
    <row r="6" ht="10.5" hidden="1"/>
    <row r="7" spans="3:15" ht="15" customHeight="1">
      <c r="C7" s="126" t="s">
        <v>1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3:15" ht="10.5"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3:15" ht="10.5"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3:15" ht="10.5"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3:15" ht="10.5"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3:15" ht="10.5"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</row>
    <row r="14" spans="3:7" ht="10.5">
      <c r="C14" s="127" t="s">
        <v>3</v>
      </c>
      <c r="D14" s="128"/>
      <c r="E14" s="128"/>
      <c r="F14" s="129"/>
      <c r="G14" s="7"/>
    </row>
    <row r="15" spans="3:19" ht="22.5" customHeight="1">
      <c r="C15" s="8" t="s">
        <v>4</v>
      </c>
      <c r="D15" s="9" t="s">
        <v>5</v>
      </c>
      <c r="E15" s="8" t="s">
        <v>4</v>
      </c>
      <c r="F15" s="9" t="s">
        <v>5</v>
      </c>
      <c r="G15" s="9" t="s">
        <v>9</v>
      </c>
      <c r="R15" s="130" t="s">
        <v>24</v>
      </c>
      <c r="S15" s="130" t="s">
        <v>25</v>
      </c>
    </row>
    <row r="16" spans="2:19" ht="11.25" customHeight="1">
      <c r="B16" s="32">
        <f>IF(AND($K$16&gt;E17,$K$16&lt;F17),G17,0)</f>
        <v>0</v>
      </c>
      <c r="C16" s="6" t="s">
        <v>6</v>
      </c>
      <c r="D16" s="6" t="s">
        <v>6</v>
      </c>
      <c r="E16" s="10" t="s">
        <v>7</v>
      </c>
      <c r="F16" s="10" t="s">
        <v>7</v>
      </c>
      <c r="G16" s="11" t="s">
        <v>10</v>
      </c>
      <c r="I16" s="27" t="s">
        <v>15</v>
      </c>
      <c r="J16" s="27"/>
      <c r="K16" s="2">
        <v>500000000</v>
      </c>
      <c r="L16" s="29" t="s">
        <v>20</v>
      </c>
      <c r="N16" s="28">
        <v>0.1</v>
      </c>
      <c r="R16" s="131"/>
      <c r="S16" s="131"/>
    </row>
    <row r="17" spans="2:19" ht="10.5">
      <c r="B17" s="32">
        <f>IF(AND($K$16&gt;E18,$K$16&lt;F18),G18,0)</f>
        <v>0</v>
      </c>
      <c r="C17" s="3">
        <v>1400</v>
      </c>
      <c r="D17" s="3">
        <v>6000</v>
      </c>
      <c r="E17" s="3">
        <f>+C17*$D$22</f>
        <v>46418400</v>
      </c>
      <c r="F17" s="3">
        <f>+D17*$D$22</f>
        <v>198936000</v>
      </c>
      <c r="G17" s="4">
        <v>0.026</v>
      </c>
      <c r="I17" s="27" t="s">
        <v>16</v>
      </c>
      <c r="J17" s="27"/>
      <c r="K17" s="34">
        <f>+K16*N16</f>
        <v>50000000</v>
      </c>
      <c r="L17" s="29" t="s">
        <v>21</v>
      </c>
      <c r="M17" s="2"/>
      <c r="N17" s="28">
        <f>+K17/K16</f>
        <v>0.1</v>
      </c>
      <c r="R17" s="4">
        <v>0.056</v>
      </c>
      <c r="S17" s="4">
        <v>0.111</v>
      </c>
    </row>
    <row r="18" spans="2:19" ht="10.5">
      <c r="B18" s="32">
        <f>IF(AND($K$16&gt;E19,$K$16&lt;F19),G19,0)</f>
        <v>0.041</v>
      </c>
      <c r="C18" s="3">
        <v>6000</v>
      </c>
      <c r="D18" s="3">
        <v>15000</v>
      </c>
      <c r="E18" s="3">
        <f aca="true" t="shared" si="0" ref="E18:F20">+C18*$D$22</f>
        <v>198936000</v>
      </c>
      <c r="F18" s="3">
        <f t="shared" si="0"/>
        <v>497340000</v>
      </c>
      <c r="G18" s="4">
        <v>0.031</v>
      </c>
      <c r="I18" s="35" t="s">
        <v>22</v>
      </c>
      <c r="J18" s="36">
        <v>0.33</v>
      </c>
      <c r="K18" s="37">
        <f>+K17*J18</f>
        <v>16500000</v>
      </c>
      <c r="L18" s="2"/>
      <c r="M18" s="2"/>
      <c r="R18" s="4">
        <v>0.066</v>
      </c>
      <c r="S18" s="4">
        <v>0.116</v>
      </c>
    </row>
    <row r="19" spans="2:19" ht="10.5">
      <c r="B19" s="32">
        <f>IF(AND($K$16&gt;E20,$K$16&lt;F20),G20,0)</f>
        <v>0</v>
      </c>
      <c r="C19" s="3">
        <v>15000</v>
      </c>
      <c r="D19" s="3">
        <v>30000</v>
      </c>
      <c r="E19" s="3">
        <f t="shared" si="0"/>
        <v>497340000</v>
      </c>
      <c r="F19" s="3">
        <f t="shared" si="0"/>
        <v>994680000</v>
      </c>
      <c r="G19" s="4">
        <v>0.041</v>
      </c>
      <c r="I19" s="38" t="s">
        <v>19</v>
      </c>
      <c r="J19" s="39">
        <v>0.01</v>
      </c>
      <c r="K19" s="40">
        <f>+K16*J19</f>
        <v>5000000</v>
      </c>
      <c r="L19" s="2"/>
      <c r="M19" s="2"/>
      <c r="R19" s="4">
        <v>0.076</v>
      </c>
      <c r="S19" s="4">
        <v>0.121</v>
      </c>
    </row>
    <row r="20" spans="2:19" ht="10.5">
      <c r="B20" s="33">
        <f>SUM(B16:B19)</f>
        <v>0.041</v>
      </c>
      <c r="C20" s="3">
        <v>30000</v>
      </c>
      <c r="D20" s="3">
        <v>80000</v>
      </c>
      <c r="E20" s="3">
        <f t="shared" si="0"/>
        <v>994680000</v>
      </c>
      <c r="F20" s="3">
        <f t="shared" si="0"/>
        <v>2652480000</v>
      </c>
      <c r="G20" s="4">
        <v>0.056</v>
      </c>
      <c r="I20" s="38" t="s">
        <v>26</v>
      </c>
      <c r="J20" s="39">
        <v>0</v>
      </c>
      <c r="K20" s="40">
        <f>+K16*J20</f>
        <v>0</v>
      </c>
      <c r="L20" s="2"/>
      <c r="M20" s="2"/>
      <c r="P20" s="2"/>
      <c r="R20" s="4">
        <v>0.096</v>
      </c>
      <c r="S20" s="4">
        <v>0.136</v>
      </c>
    </row>
    <row r="21" spans="9:13" ht="10.5">
      <c r="I21" s="41" t="s">
        <v>18</v>
      </c>
      <c r="J21" s="44"/>
      <c r="K21" s="43">
        <f>+K18+K19+K20</f>
        <v>21500000</v>
      </c>
      <c r="L21" s="2"/>
      <c r="M21" s="2"/>
    </row>
    <row r="22" spans="3:16" ht="10.5">
      <c r="C22" t="s">
        <v>8</v>
      </c>
      <c r="D22" s="2">
        <v>33156</v>
      </c>
      <c r="L22" s="2"/>
      <c r="M22" s="2"/>
      <c r="P22" s="25"/>
    </row>
    <row r="23" spans="11:13" ht="10.5">
      <c r="K23" s="2"/>
      <c r="L23" s="2"/>
      <c r="M23" s="2"/>
    </row>
    <row r="24" ht="10.5">
      <c r="K24" s="2"/>
    </row>
    <row r="25" spans="9:12" ht="10.5">
      <c r="I25" s="41" t="s">
        <v>17</v>
      </c>
      <c r="J25" s="42">
        <f>+B20</f>
        <v>0.041</v>
      </c>
      <c r="K25" s="43">
        <f>+K16*J25</f>
        <v>20500000</v>
      </c>
      <c r="L25" s="45">
        <f>IF(K20&gt;0,"Modificque la tarifa de acuerdo a la tabla","")</f>
      </c>
    </row>
    <row r="27" spans="9:11" ht="10.5">
      <c r="I27" s="30" t="s">
        <v>23</v>
      </c>
      <c r="J27" s="30"/>
      <c r="K27" s="31">
        <f>+K25-K21</f>
        <v>-1000000</v>
      </c>
    </row>
    <row r="31" spans="3:15" ht="10.5">
      <c r="C31" s="126" t="s">
        <v>11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3:15" ht="10.5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3:15" ht="10.5"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</row>
    <row r="34" spans="3:15" ht="10.5" hidden="1"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3:15" ht="10.5" hidden="1"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</row>
    <row r="36" spans="3:15" ht="10.5" hidden="1"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</row>
    <row r="38" spans="3:7" ht="10.5">
      <c r="C38" s="132" t="s">
        <v>3</v>
      </c>
      <c r="D38" s="133"/>
      <c r="E38" s="133"/>
      <c r="F38" s="134"/>
      <c r="G38" s="14"/>
    </row>
    <row r="39" spans="3:7" ht="31.5">
      <c r="C39" s="15" t="s">
        <v>4</v>
      </c>
      <c r="D39" s="16" t="s">
        <v>5</v>
      </c>
      <c r="E39" s="15" t="s">
        <v>4</v>
      </c>
      <c r="F39" s="16" t="s">
        <v>5</v>
      </c>
      <c r="G39" s="16" t="s">
        <v>9</v>
      </c>
    </row>
    <row r="40" spans="3:7" ht="10.5">
      <c r="C40" s="17" t="s">
        <v>6</v>
      </c>
      <c r="D40" s="17" t="s">
        <v>6</v>
      </c>
      <c r="E40" s="18" t="s">
        <v>7</v>
      </c>
      <c r="F40" s="18" t="s">
        <v>7</v>
      </c>
      <c r="G40" s="19" t="s">
        <v>10</v>
      </c>
    </row>
    <row r="41" spans="3:10" ht="10.5">
      <c r="C41" s="3">
        <v>1400</v>
      </c>
      <c r="D41" s="3">
        <v>6000</v>
      </c>
      <c r="E41" s="3">
        <f>+C41*$D$22</f>
        <v>46418400</v>
      </c>
      <c r="F41" s="3">
        <f>+D41*$D$22</f>
        <v>198936000</v>
      </c>
      <c r="G41" s="4">
        <v>0.056</v>
      </c>
      <c r="I41" s="2"/>
      <c r="J41" s="2"/>
    </row>
    <row r="42" spans="3:7" ht="10.5">
      <c r="C42" s="3">
        <v>6000</v>
      </c>
      <c r="D42" s="3">
        <v>15000</v>
      </c>
      <c r="E42" s="3">
        <f aca="true" t="shared" si="1" ref="E42:F44">+C42*$D$22</f>
        <v>198936000</v>
      </c>
      <c r="F42" s="3">
        <f t="shared" si="1"/>
        <v>497340000</v>
      </c>
      <c r="G42" s="4">
        <v>0.066</v>
      </c>
    </row>
    <row r="43" spans="3:7" ht="10.5">
      <c r="C43" s="3">
        <v>15000</v>
      </c>
      <c r="D43" s="3">
        <v>30000</v>
      </c>
      <c r="E43" s="3">
        <f t="shared" si="1"/>
        <v>497340000</v>
      </c>
      <c r="F43" s="3">
        <f t="shared" si="1"/>
        <v>994680000</v>
      </c>
      <c r="G43" s="4">
        <v>0.076</v>
      </c>
    </row>
    <row r="44" spans="3:10" ht="10.5">
      <c r="C44" s="3">
        <v>30000</v>
      </c>
      <c r="D44" s="3">
        <v>80000</v>
      </c>
      <c r="E44" s="3">
        <f t="shared" si="1"/>
        <v>994680000</v>
      </c>
      <c r="F44" s="3">
        <f t="shared" si="1"/>
        <v>2652480000</v>
      </c>
      <c r="G44" s="4">
        <v>0.096</v>
      </c>
      <c r="I44" s="2"/>
      <c r="J44" s="2"/>
    </row>
    <row r="46" spans="3:4" ht="10.5">
      <c r="C46" t="s">
        <v>8</v>
      </c>
      <c r="D46" s="2">
        <v>34270</v>
      </c>
    </row>
    <row r="57" spans="3:15" ht="10.5">
      <c r="C57" s="126" t="s">
        <v>12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</row>
    <row r="58" spans="3:15" ht="10.5"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</row>
    <row r="59" spans="3:15" ht="9.75" customHeight="1"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</row>
    <row r="60" spans="3:15" ht="10.5" hidden="1"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</row>
    <row r="61" spans="3:15" ht="10.5" hidden="1"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</row>
    <row r="62" spans="3:15" ht="10.5" hidden="1"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4" spans="3:7" ht="10.5">
      <c r="C64" s="123" t="s">
        <v>3</v>
      </c>
      <c r="D64" s="124"/>
      <c r="E64" s="124"/>
      <c r="F64" s="125"/>
      <c r="G64" s="20"/>
    </row>
    <row r="65" spans="3:7" ht="31.5">
      <c r="C65" s="21" t="s">
        <v>4</v>
      </c>
      <c r="D65" s="22" t="s">
        <v>5</v>
      </c>
      <c r="E65" s="21" t="s">
        <v>4</v>
      </c>
      <c r="F65" s="22" t="s">
        <v>5</v>
      </c>
      <c r="G65" s="22" t="s">
        <v>9</v>
      </c>
    </row>
    <row r="66" spans="3:7" ht="10.5">
      <c r="C66" s="5" t="s">
        <v>6</v>
      </c>
      <c r="D66" s="5" t="s">
        <v>6</v>
      </c>
      <c r="E66" s="23" t="s">
        <v>7</v>
      </c>
      <c r="F66" s="23" t="s">
        <v>7</v>
      </c>
      <c r="G66" s="24" t="s">
        <v>10</v>
      </c>
    </row>
    <row r="67" spans="3:10" ht="10.5">
      <c r="C67" s="3">
        <v>1400</v>
      </c>
      <c r="D67" s="3">
        <v>6000</v>
      </c>
      <c r="E67" s="3">
        <f>+C67*$D$22</f>
        <v>46418400</v>
      </c>
      <c r="F67" s="3">
        <f>+D67*$D$22</f>
        <v>198936000</v>
      </c>
      <c r="G67" s="4">
        <v>0.111</v>
      </c>
      <c r="I67" s="1"/>
      <c r="J67" s="2"/>
    </row>
    <row r="68" spans="3:7" ht="10.5">
      <c r="C68" s="3">
        <v>6000</v>
      </c>
      <c r="D68" s="3">
        <v>15000</v>
      </c>
      <c r="E68" s="3">
        <f aca="true" t="shared" si="2" ref="E68:F70">+C68*$D$22</f>
        <v>198936000</v>
      </c>
      <c r="F68" s="3">
        <f t="shared" si="2"/>
        <v>497340000</v>
      </c>
      <c r="G68" s="4">
        <v>0.116</v>
      </c>
    </row>
    <row r="69" spans="3:7" ht="10.5">
      <c r="C69" s="3">
        <v>15000</v>
      </c>
      <c r="D69" s="3">
        <v>30000</v>
      </c>
      <c r="E69" s="3">
        <f t="shared" si="2"/>
        <v>497340000</v>
      </c>
      <c r="F69" s="3">
        <f t="shared" si="2"/>
        <v>994680000</v>
      </c>
      <c r="G69" s="4">
        <v>0.121</v>
      </c>
    </row>
    <row r="70" spans="3:10" ht="10.5">
      <c r="C70" s="3">
        <v>30000</v>
      </c>
      <c r="D70" s="3">
        <v>80000</v>
      </c>
      <c r="E70" s="3">
        <f t="shared" si="2"/>
        <v>994680000</v>
      </c>
      <c r="F70" s="3">
        <f t="shared" si="2"/>
        <v>2652480000</v>
      </c>
      <c r="G70" s="4">
        <v>0.136</v>
      </c>
      <c r="I70" s="2"/>
      <c r="J70" s="2"/>
    </row>
    <row r="72" spans="3:4" ht="10.5">
      <c r="C72" t="s">
        <v>8</v>
      </c>
      <c r="D72" s="2">
        <v>34270</v>
      </c>
    </row>
  </sheetData>
  <sheetProtection/>
  <mergeCells count="8">
    <mergeCell ref="C64:F64"/>
    <mergeCell ref="C7:O12"/>
    <mergeCell ref="C14:F14"/>
    <mergeCell ref="R15:R16"/>
    <mergeCell ref="S15:S16"/>
    <mergeCell ref="C31:O36"/>
    <mergeCell ref="C38:F38"/>
    <mergeCell ref="C57:O62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">
    <tabColor rgb="FF00B050"/>
  </sheetPr>
  <dimension ref="A2:R5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Q18" sqref="Q18"/>
    </sheetView>
  </sheetViews>
  <sheetFormatPr defaultColWidth="12" defaultRowHeight="14.25" customHeight="1"/>
  <cols>
    <col min="1" max="1" width="2.16015625" style="59" customWidth="1"/>
    <col min="2" max="2" width="24.33203125" style="59" hidden="1" customWidth="1"/>
    <col min="3" max="3" width="15.16015625" style="59" hidden="1" customWidth="1"/>
    <col min="4" max="4" width="20.33203125" style="59" customWidth="1"/>
    <col min="5" max="5" width="20.16015625" style="59" customWidth="1"/>
    <col min="6" max="6" width="18.66015625" style="59" customWidth="1"/>
    <col min="7" max="7" width="20.33203125" style="59" customWidth="1"/>
    <col min="8" max="8" width="20.5" style="59" customWidth="1"/>
    <col min="9" max="9" width="19.33203125" style="59" customWidth="1"/>
    <col min="10" max="10" width="17.16015625" style="59" hidden="1" customWidth="1"/>
    <col min="11" max="11" width="18.16015625" style="59" hidden="1" customWidth="1"/>
    <col min="12" max="12" width="10.16015625" style="59" hidden="1" customWidth="1"/>
    <col min="13" max="13" width="15.16015625" style="59" hidden="1" customWidth="1"/>
    <col min="14" max="14" width="6.66015625" style="59" customWidth="1"/>
    <col min="15" max="15" width="17.66015625" style="59" customWidth="1"/>
    <col min="16" max="16" width="16.33203125" style="59" customWidth="1"/>
    <col min="17" max="16384" width="12" style="59" customWidth="1"/>
  </cols>
  <sheetData>
    <row r="1" ht="2.25" customHeight="1"/>
    <row r="2" spans="2:9" ht="14.25" customHeight="1">
      <c r="B2" s="111"/>
      <c r="C2" s="111"/>
      <c r="D2" s="69"/>
      <c r="E2" s="138" t="s">
        <v>55</v>
      </c>
      <c r="F2" s="138"/>
      <c r="G2" s="138"/>
      <c r="H2" s="138"/>
      <c r="I2" s="138"/>
    </row>
    <row r="3" spans="4:9" ht="14.25" customHeight="1">
      <c r="D3" s="69"/>
      <c r="E3" s="138"/>
      <c r="F3" s="138"/>
      <c r="G3" s="138"/>
      <c r="H3" s="138"/>
      <c r="I3" s="138"/>
    </row>
    <row r="4" spans="4:9" ht="14.25" customHeight="1">
      <c r="D4" s="69"/>
      <c r="E4" s="138"/>
      <c r="F4" s="138"/>
      <c r="G4" s="138"/>
      <c r="H4" s="138"/>
      <c r="I4" s="138"/>
    </row>
    <row r="5" spans="4:9" ht="6.75" customHeight="1">
      <c r="D5" s="69"/>
      <c r="E5" s="138"/>
      <c r="F5" s="138"/>
      <c r="G5" s="138"/>
      <c r="H5" s="138"/>
      <c r="I5" s="138"/>
    </row>
    <row r="6" ht="5.25" customHeight="1" hidden="1">
      <c r="L6"/>
    </row>
    <row r="7" ht="14.25" customHeight="1" hidden="1"/>
    <row r="8" ht="9.75" customHeight="1"/>
    <row r="9" spans="4:15" ht="14.25" customHeight="1">
      <c r="D9" s="81" t="s">
        <v>56</v>
      </c>
      <c r="E9" s="74" t="s">
        <v>51</v>
      </c>
      <c r="F9" s="60"/>
      <c r="G9" s="79" t="s">
        <v>59</v>
      </c>
      <c r="H9" s="90">
        <v>0.35</v>
      </c>
      <c r="I9" s="76">
        <f>+E12*H9</f>
        <v>84000000</v>
      </c>
      <c r="J9" s="60"/>
      <c r="K9" s="60"/>
      <c r="L9" s="60"/>
      <c r="O9" s="110" t="s">
        <v>75</v>
      </c>
    </row>
    <row r="10" spans="4:18" ht="14.25" customHeight="1">
      <c r="D10" s="81" t="s">
        <v>47</v>
      </c>
      <c r="E10" s="75">
        <v>800000000</v>
      </c>
      <c r="F10" s="61"/>
      <c r="G10" s="80" t="s">
        <v>63</v>
      </c>
      <c r="H10" s="91">
        <v>9.66</v>
      </c>
      <c r="I10" s="77">
        <f>+E10*H10/1000</f>
        <v>7728000</v>
      </c>
      <c r="J10" s="61"/>
      <c r="K10" s="60"/>
      <c r="L10" s="60"/>
      <c r="R10" s="88"/>
    </row>
    <row r="11" spans="4:12" ht="14.25" customHeight="1">
      <c r="D11" s="81" t="s">
        <v>48</v>
      </c>
      <c r="E11" s="87">
        <v>0.3</v>
      </c>
      <c r="F11" s="92"/>
      <c r="G11" s="80" t="s">
        <v>64</v>
      </c>
      <c r="H11" s="89">
        <v>0.15</v>
      </c>
      <c r="I11" s="77">
        <f>+I10*H11</f>
        <v>1159200</v>
      </c>
      <c r="J11" s="61"/>
      <c r="K11" s="60"/>
      <c r="L11" s="60"/>
    </row>
    <row r="12" spans="4:18" ht="14.25" customHeight="1">
      <c r="D12" s="81" t="s">
        <v>58</v>
      </c>
      <c r="E12" s="75">
        <f>+E10*E11</f>
        <v>240000000</v>
      </c>
      <c r="F12" s="61"/>
      <c r="G12" s="114" t="s">
        <v>60</v>
      </c>
      <c r="H12" s="112"/>
      <c r="I12" s="113">
        <f>SUM(I9:I11)</f>
        <v>92887200</v>
      </c>
      <c r="J12" s="61"/>
      <c r="K12" s="60"/>
      <c r="L12" s="60"/>
      <c r="R12" s="88"/>
    </row>
    <row r="13" spans="4:16" s="62" customFormat="1" ht="14.25" customHeight="1">
      <c r="D13" s="81" t="s">
        <v>65</v>
      </c>
      <c r="E13" s="93">
        <f>_xlfn.IFERROR(E12/E10,0)</f>
        <v>0.3</v>
      </c>
      <c r="F13" s="57"/>
      <c r="G13" s="59"/>
      <c r="H13" s="59"/>
      <c r="I13" s="59"/>
      <c r="J13" s="57"/>
      <c r="O13" s="85" t="str">
        <f>IF(P13&lt;0,"Ahorro","Mayor impuesto")</f>
        <v>Ahorro</v>
      </c>
      <c r="P13" s="116">
        <f>+I17-I12</f>
        <v>-11831200</v>
      </c>
    </row>
    <row r="14" spans="4:16" ht="14.25" customHeight="1">
      <c r="D14" s="81" t="s">
        <v>53</v>
      </c>
      <c r="E14" s="75">
        <v>36308</v>
      </c>
      <c r="F14" s="61"/>
      <c r="G14" s="94" t="s">
        <v>72</v>
      </c>
      <c r="H14" s="95">
        <f>VLOOKUP(E9,D37:E40,2,0)</f>
        <v>0.12</v>
      </c>
      <c r="I14" s="78">
        <f>+E10*H14</f>
        <v>96000000</v>
      </c>
      <c r="J14" s="61"/>
      <c r="K14" s="60"/>
      <c r="L14" s="60"/>
      <c r="O14" s="148" t="str">
        <f>IF(P13&lt;0,"Es conveniente","No es conveniente")</f>
        <v>Es conveniente</v>
      </c>
      <c r="P14" s="148"/>
    </row>
    <row r="15" spans="4:12" ht="14.25" customHeight="1">
      <c r="D15" s="109" t="s">
        <v>78</v>
      </c>
      <c r="E15" s="61"/>
      <c r="F15" s="61"/>
      <c r="G15" s="102" t="s">
        <v>66</v>
      </c>
      <c r="H15" s="103"/>
      <c r="I15" s="107">
        <f>-F47</f>
        <v>-10944000</v>
      </c>
      <c r="J15" s="61"/>
      <c r="K15" s="60"/>
      <c r="L15" s="60"/>
    </row>
    <row r="16" spans="4:12" ht="14.25" customHeight="1">
      <c r="D16" s="109" t="s">
        <v>77</v>
      </c>
      <c r="E16" s="61"/>
      <c r="F16" s="61"/>
      <c r="G16" s="102" t="s">
        <v>70</v>
      </c>
      <c r="H16" s="103"/>
      <c r="I16" s="107">
        <f>-F50</f>
        <v>-4000000</v>
      </c>
      <c r="J16" s="61"/>
      <c r="K16" s="60"/>
      <c r="L16" s="60"/>
    </row>
    <row r="17" spans="4:16" ht="14.25" customHeight="1">
      <c r="D17" s="60"/>
      <c r="E17" s="61"/>
      <c r="F17" s="61"/>
      <c r="G17" s="114" t="s">
        <v>76</v>
      </c>
      <c r="H17" s="115"/>
      <c r="I17" s="113">
        <f>IF(I14+I15+I16&lt;0,I10+I11,I14+I15+I16)</f>
        <v>81056000</v>
      </c>
      <c r="J17" s="61"/>
      <c r="K17" s="60"/>
      <c r="L17" s="60"/>
      <c r="P17" s="84"/>
    </row>
    <row r="18" spans="4:12" ht="14.25" customHeight="1">
      <c r="D18" s="60"/>
      <c r="E18" s="61"/>
      <c r="F18" s="61"/>
      <c r="G18" s="61"/>
      <c r="H18" s="61"/>
      <c r="I18" s="61"/>
      <c r="J18" s="61"/>
      <c r="K18" s="60"/>
      <c r="L18" s="60"/>
    </row>
    <row r="19" spans="4:12" ht="14.25" customHeight="1">
      <c r="D19" s="139" t="str">
        <f>VLOOKUP(E9,'Grupo de actividades'!$D$37:$E$40,2,0)</f>
        <v>3. Servicios profesionales, de consultoría y científicos en los que predomine el factor intelectual </v>
      </c>
      <c r="E19" s="140"/>
      <c r="F19" s="140"/>
      <c r="G19" s="140"/>
      <c r="H19" s="140"/>
      <c r="I19" s="141"/>
      <c r="J19" s="61"/>
      <c r="K19" s="60"/>
      <c r="L19" s="60"/>
    </row>
    <row r="20" spans="4:12" ht="14.25" customHeight="1">
      <c r="D20" s="142"/>
      <c r="E20" s="143"/>
      <c r="F20" s="143"/>
      <c r="G20" s="143"/>
      <c r="H20" s="143"/>
      <c r="I20" s="144"/>
      <c r="J20" s="61"/>
      <c r="K20" s="60"/>
      <c r="L20" s="60"/>
    </row>
    <row r="21" spans="4:12" ht="14.25" customHeight="1">
      <c r="D21" s="142"/>
      <c r="E21" s="143"/>
      <c r="F21" s="143"/>
      <c r="G21" s="143"/>
      <c r="H21" s="143"/>
      <c r="I21" s="144"/>
      <c r="J21" s="61"/>
      <c r="K21" s="60"/>
      <c r="L21" s="60"/>
    </row>
    <row r="22" spans="4:12" ht="14.25" customHeight="1">
      <c r="D22" s="142"/>
      <c r="E22" s="143"/>
      <c r="F22" s="143"/>
      <c r="G22" s="143"/>
      <c r="H22" s="143"/>
      <c r="I22" s="144"/>
      <c r="J22" s="61"/>
      <c r="K22" s="60"/>
      <c r="L22" s="60"/>
    </row>
    <row r="23" spans="4:12" ht="2.25" customHeight="1">
      <c r="D23" s="145"/>
      <c r="E23" s="146"/>
      <c r="F23" s="146"/>
      <c r="G23" s="146"/>
      <c r="H23" s="146"/>
      <c r="I23" s="147"/>
      <c r="J23" s="61"/>
      <c r="K23" s="60"/>
      <c r="L23" s="60"/>
    </row>
    <row r="24" spans="4:12" ht="8.25" customHeight="1">
      <c r="D24" s="60"/>
      <c r="E24" s="60"/>
      <c r="F24" s="60"/>
      <c r="G24" s="60"/>
      <c r="H24" s="60"/>
      <c r="I24" s="60"/>
      <c r="J24" s="60"/>
      <c r="K24" s="60"/>
      <c r="L24" s="60"/>
    </row>
    <row r="25" spans="4:12" ht="14.25" customHeight="1" hidden="1">
      <c r="D25" s="60"/>
      <c r="E25" s="60"/>
      <c r="F25" s="60"/>
      <c r="G25" s="60"/>
      <c r="H25" s="60"/>
      <c r="I25" s="60"/>
      <c r="J25" s="60"/>
      <c r="K25" s="60"/>
      <c r="L25" s="60"/>
    </row>
    <row r="26" spans="1:13" ht="14.25" customHeight="1">
      <c r="A26" s="63"/>
      <c r="B26" s="151" t="s">
        <v>28</v>
      </c>
      <c r="C26" s="152"/>
      <c r="D26" s="152"/>
      <c r="E26" s="153"/>
      <c r="F26" s="154" t="s">
        <v>37</v>
      </c>
      <c r="G26" s="154" t="s">
        <v>38</v>
      </c>
      <c r="H26" s="154" t="s">
        <v>39</v>
      </c>
      <c r="I26" s="154" t="s">
        <v>40</v>
      </c>
      <c r="J26" s="149" t="s">
        <v>49</v>
      </c>
      <c r="K26" s="149" t="s">
        <v>50</v>
      </c>
      <c r="L26" s="149" t="s">
        <v>51</v>
      </c>
      <c r="M26" s="149" t="s">
        <v>52</v>
      </c>
    </row>
    <row r="27" spans="2:13" ht="24" customHeight="1">
      <c r="B27" s="70" t="s">
        <v>35</v>
      </c>
      <c r="C27" s="70" t="s">
        <v>29</v>
      </c>
      <c r="D27" s="70" t="s">
        <v>36</v>
      </c>
      <c r="E27" s="70" t="s">
        <v>30</v>
      </c>
      <c r="F27" s="155"/>
      <c r="G27" s="155"/>
      <c r="H27" s="155"/>
      <c r="I27" s="155"/>
      <c r="J27" s="150"/>
      <c r="K27" s="150"/>
      <c r="L27" s="150"/>
      <c r="M27" s="150"/>
    </row>
    <row r="28" spans="2:13" ht="14.25" customHeight="1">
      <c r="B28" s="64">
        <v>0</v>
      </c>
      <c r="C28" s="64">
        <v>6000</v>
      </c>
      <c r="D28" s="64">
        <f aca="true" t="shared" si="0" ref="D28:E31">+B28*$E$33</f>
        <v>0</v>
      </c>
      <c r="E28" s="64">
        <f t="shared" si="0"/>
        <v>217848000</v>
      </c>
      <c r="F28" s="65">
        <v>0.02</v>
      </c>
      <c r="G28" s="65">
        <v>0.018</v>
      </c>
      <c r="H28" s="65">
        <v>0.059</v>
      </c>
      <c r="I28" s="65">
        <v>0.034</v>
      </c>
      <c r="J28" s="65">
        <f>IF(AND($E$10&gt;=D28,$E$10&lt;E28),F28,0)</f>
        <v>0</v>
      </c>
      <c r="K28" s="65">
        <f>IF(AND($E$10&gt;=D28,$E$10&lt;E28),G28,0)</f>
        <v>0</v>
      </c>
      <c r="L28" s="65">
        <f>IF(AND($E$10&gt;=D28,$E$10&lt;E28),H28,0)</f>
        <v>0</v>
      </c>
      <c r="M28" s="65">
        <f>IF(AND($E$10&gt;=D28,$E$10&lt;E28),I28,0)</f>
        <v>0</v>
      </c>
    </row>
    <row r="29" spans="2:13" ht="14.25" customHeight="1">
      <c r="B29" s="64">
        <v>6000</v>
      </c>
      <c r="C29" s="64">
        <v>15000</v>
      </c>
      <c r="D29" s="64">
        <f t="shared" si="0"/>
        <v>217848000</v>
      </c>
      <c r="E29" s="64">
        <f t="shared" si="0"/>
        <v>544620000</v>
      </c>
      <c r="F29" s="65">
        <v>0.028</v>
      </c>
      <c r="G29" s="65">
        <v>0.022</v>
      </c>
      <c r="H29" s="65">
        <v>0.073</v>
      </c>
      <c r="I29" s="65">
        <v>0.038</v>
      </c>
      <c r="J29" s="65">
        <f>IF(AND($E$10&gt;=D29,$E$10&lt;E29),F29,0)</f>
        <v>0</v>
      </c>
      <c r="K29" s="65">
        <f>IF(AND($E$10&gt;=D29,$E$10&lt;E29),G29,0)</f>
        <v>0</v>
      </c>
      <c r="L29" s="65">
        <f>IF(AND($E$10&gt;=D29,$E$10&lt;E29),H29,0)</f>
        <v>0</v>
      </c>
      <c r="M29" s="65">
        <f>IF(AND($E$10&gt;=D29,$E$10&lt;E29),I29,0)</f>
        <v>0</v>
      </c>
    </row>
    <row r="30" spans="2:13" ht="14.25" customHeight="1">
      <c r="B30" s="64">
        <v>15000</v>
      </c>
      <c r="C30" s="64">
        <v>30000</v>
      </c>
      <c r="D30" s="64">
        <f t="shared" si="0"/>
        <v>544620000</v>
      </c>
      <c r="E30" s="64">
        <f t="shared" si="0"/>
        <v>1089240000</v>
      </c>
      <c r="F30" s="65">
        <v>0.081</v>
      </c>
      <c r="G30" s="65">
        <v>0.039</v>
      </c>
      <c r="H30" s="65">
        <v>0.12</v>
      </c>
      <c r="I30" s="65">
        <v>0.055</v>
      </c>
      <c r="J30" s="65">
        <f>IF(AND($E$10&gt;=D30,$E$10&lt;E30),F30,0)</f>
        <v>0.081</v>
      </c>
      <c r="K30" s="65">
        <f>IF(AND($E$10&gt;=D30,$E$10&lt;E30),G30,0)</f>
        <v>0.039</v>
      </c>
      <c r="L30" s="65">
        <f>IF(AND($E$10&gt;=D30,$E$10&lt;E30),H30,0)</f>
        <v>0.12</v>
      </c>
      <c r="M30" s="65">
        <f>IF(AND($E$10&gt;=D30,$E$10&lt;E30),I30,0)</f>
        <v>0.055</v>
      </c>
    </row>
    <row r="31" spans="2:13" ht="14.25" customHeight="1">
      <c r="B31" s="64">
        <v>30000</v>
      </c>
      <c r="C31" s="64">
        <v>100000</v>
      </c>
      <c r="D31" s="64">
        <f t="shared" si="0"/>
        <v>1089240000</v>
      </c>
      <c r="E31" s="64">
        <f t="shared" si="0"/>
        <v>3630800000</v>
      </c>
      <c r="F31" s="65">
        <v>0.116</v>
      </c>
      <c r="G31" s="65">
        <v>0.054</v>
      </c>
      <c r="H31" s="65">
        <v>0.145</v>
      </c>
      <c r="I31" s="65">
        <v>0.07</v>
      </c>
      <c r="J31" s="65">
        <f>IF(AND($E$10&gt;=D31,$E$10&lt;E31),F31,0)</f>
        <v>0</v>
      </c>
      <c r="K31" s="65">
        <f>IF(AND($E$10&gt;=D31,$E$10&lt;E31),G31,0)</f>
        <v>0</v>
      </c>
      <c r="L31" s="65">
        <f>IF(AND($E$10&gt;=D31,$E$10&lt;E31),H31,0)</f>
        <v>0</v>
      </c>
      <c r="M31" s="65">
        <f>IF(AND($E$10&gt;=D31,$E$10&lt;E31),I31,0)</f>
        <v>0</v>
      </c>
    </row>
    <row r="32" spans="4:13" ht="14.25" customHeight="1">
      <c r="D32" s="58"/>
      <c r="E32" s="58"/>
      <c r="F32" s="83">
        <f>+J32</f>
        <v>0.081</v>
      </c>
      <c r="G32" s="83">
        <f>+K32</f>
        <v>0.039</v>
      </c>
      <c r="H32" s="83">
        <f>+L32</f>
        <v>0.12</v>
      </c>
      <c r="I32" s="83">
        <f>+M32</f>
        <v>0.055</v>
      </c>
      <c r="J32" s="83">
        <f>SUM(J28:J31)</f>
        <v>0.081</v>
      </c>
      <c r="K32" s="83">
        <f>SUM(K28:K31)</f>
        <v>0.039</v>
      </c>
      <c r="L32" s="83">
        <f>SUM(L28:L31)</f>
        <v>0.12</v>
      </c>
      <c r="M32" s="83">
        <f>SUM(M28:M31)</f>
        <v>0.055</v>
      </c>
    </row>
    <row r="33" spans="4:6" ht="14.25" hidden="1">
      <c r="D33" s="58" t="s">
        <v>74</v>
      </c>
      <c r="E33" s="66">
        <f>+E14</f>
        <v>36308</v>
      </c>
      <c r="F33" s="58"/>
    </row>
    <row r="34" ht="12.75" customHeight="1"/>
    <row r="35" ht="14.25" customHeight="1" hidden="1"/>
    <row r="36" ht="14.25" customHeight="1" hidden="1"/>
    <row r="37" spans="4:5" ht="1.5" customHeight="1" hidden="1">
      <c r="D37" s="59" t="s">
        <v>49</v>
      </c>
      <c r="E37" s="82">
        <f>+J32</f>
        <v>0.081</v>
      </c>
    </row>
    <row r="38" spans="4:5" ht="14.25" customHeight="1" hidden="1">
      <c r="D38" s="59" t="s">
        <v>50</v>
      </c>
      <c r="E38" s="82">
        <f>+K32</f>
        <v>0.039</v>
      </c>
    </row>
    <row r="39" spans="4:5" ht="14.25" customHeight="1" hidden="1">
      <c r="D39" s="59" t="s">
        <v>51</v>
      </c>
      <c r="E39" s="82">
        <f>+L32</f>
        <v>0.12</v>
      </c>
    </row>
    <row r="40" spans="4:5" ht="14.25" customHeight="1" hidden="1">
      <c r="D40" s="59" t="s">
        <v>52</v>
      </c>
      <c r="E40" s="82">
        <f>+M32</f>
        <v>0.055</v>
      </c>
    </row>
    <row r="41" ht="14.25" customHeight="1" hidden="1"/>
    <row r="42" ht="14.25" customHeight="1" hidden="1"/>
    <row r="43" ht="14.25" customHeight="1" hidden="1">
      <c r="E43" s="84"/>
    </row>
    <row r="44" spans="4:5" ht="14.25" customHeight="1">
      <c r="D44" s="108" t="s">
        <v>73</v>
      </c>
      <c r="E44" s="84"/>
    </row>
    <row r="45" spans="4:6" ht="14.25" customHeight="1">
      <c r="D45" s="135" t="s">
        <v>79</v>
      </c>
      <c r="E45" s="136"/>
      <c r="F45" s="137"/>
    </row>
    <row r="46" spans="4:6" ht="14.25" customHeight="1">
      <c r="D46" s="97" t="s">
        <v>67</v>
      </c>
      <c r="E46" s="98"/>
      <c r="F46" s="104">
        <f>950000*8*12</f>
        <v>91200000</v>
      </c>
    </row>
    <row r="47" spans="4:8" ht="14.25" customHeight="1">
      <c r="D47" s="99" t="s">
        <v>68</v>
      </c>
      <c r="E47" s="100"/>
      <c r="F47" s="105">
        <f>+F46*12%</f>
        <v>10944000</v>
      </c>
      <c r="H47" s="59" t="s">
        <v>61</v>
      </c>
    </row>
    <row r="48" spans="4:8" ht="9.75" customHeight="1">
      <c r="D48" s="96"/>
      <c r="E48" s="96"/>
      <c r="F48" s="96"/>
      <c r="H48" s="86" t="s">
        <v>62</v>
      </c>
    </row>
    <row r="49" spans="4:6" ht="14.25" customHeight="1">
      <c r="D49" s="97" t="s">
        <v>69</v>
      </c>
      <c r="E49" s="101"/>
      <c r="F49" s="106">
        <v>800000000</v>
      </c>
    </row>
    <row r="50" spans="4:6" ht="14.25" customHeight="1">
      <c r="D50" s="97" t="s">
        <v>71</v>
      </c>
      <c r="E50" s="101"/>
      <c r="F50" s="105">
        <f>+F49*0.5/100</f>
        <v>4000000</v>
      </c>
    </row>
    <row r="51" spans="4:6" ht="14.25" customHeight="1">
      <c r="D51" s="96"/>
      <c r="E51" s="96"/>
      <c r="F51" s="96"/>
    </row>
  </sheetData>
  <sheetProtection sheet="1" objects="1" scenarios="1" formatCells="0" formatColumns="0" formatRows="0" insertHyperlinks="0" sort="0" autoFilter="0"/>
  <mergeCells count="13">
    <mergeCell ref="D45:F45"/>
    <mergeCell ref="E2:I5"/>
    <mergeCell ref="D19:I23"/>
    <mergeCell ref="O14:P14"/>
    <mergeCell ref="K26:K27"/>
    <mergeCell ref="L26:L27"/>
    <mergeCell ref="M26:M27"/>
    <mergeCell ref="B26:E26"/>
    <mergeCell ref="F26:F27"/>
    <mergeCell ref="G26:G27"/>
    <mergeCell ref="H26:H27"/>
    <mergeCell ref="I26:I27"/>
    <mergeCell ref="J26:J27"/>
  </mergeCells>
  <conditionalFormatting sqref="O14:P14">
    <cfRule type="cellIs" priority="1" dxfId="1" operator="equal">
      <formula>"""No es conveniente"""</formula>
    </cfRule>
  </conditionalFormatting>
  <dataValidations count="6">
    <dataValidation allowBlank="1" showInputMessage="1" showErrorMessage="1" prompt="Digite la tarifa expresada en miles, ejemplo  si la tarifa es 8 por mil, digite 8" sqref="H10"/>
    <dataValidation allowBlank="1" showInputMessage="1" showErrorMessage="1" prompt="Digite el valor de la UVT del año que vaya a trabajar" sqref="E14"/>
    <dataValidation allowBlank="1" showInputMessage="1" showErrorMessage="1" prompt="Opcionalmente digite directamente el valor de la renta líquida gravable de la declaración de renta que está tomando como base de análisis, o de lo contrario digite arriba el ingreso anual y el % de margen fiscal que en promedio maneja." sqref="E12"/>
    <dataValidation allowBlank="1" showInputMessage="1" showErrorMessage="1" prompt="Digite el valor del descuento tributario correspondiente o diligencie el anexo en la parte inferior DESCUENTOS TRIBUTARIOS para que le traiga el valor automáticamente  a esta celda." sqref="I15:I16"/>
    <dataValidation allowBlank="1" showInputMessage="1" showErrorMessage="1" prompt="Si el analisis lo va a realizar trabajando con un % de marge fiscal promedio, digite en esta celda el ingreso neto anual (Ingreso - ingresos no constitutivos de renta) (no digite ganancias ocasionales.)" sqref="E10"/>
    <dataValidation allowBlank="1" showInputMessage="1" showErrorMessage="1" prompt="Si el analisis lo va a realizar trabajando con un % de marge fiscal promedio, entonces digite este % promedio que maneja históricamente. De lo contrario deje en blanco y en la celda siguiente digite la renta líquida fiscal con la que realizará el cálculo." sqref="E11"/>
  </dataValidations>
  <hyperlinks>
    <hyperlink ref="H48" r:id="rId1" display="www.consultorcontable.com"/>
  </hyperlinks>
  <printOptions/>
  <pageMargins left="0.7" right="0.7" top="0.75" bottom="0.75" header="0.3" footer="0.3"/>
  <pageSetup horizontalDpi="600" verticalDpi="600" orientation="landscape" r:id="rId5"/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rgb="FF00B050"/>
  </sheetPr>
  <dimension ref="A2:I40"/>
  <sheetViews>
    <sheetView zoomScale="115" zoomScaleNormal="115" zoomScalePageLayoutView="0" workbookViewId="0" topLeftCell="C1">
      <pane ySplit="6" topLeftCell="A7" activePane="bottomLeft" state="frozen"/>
      <selection pane="topLeft" activeCell="K21" sqref="K21"/>
      <selection pane="bottomLeft" activeCell="D26" sqref="D26:I31"/>
    </sheetView>
  </sheetViews>
  <sheetFormatPr defaultColWidth="12" defaultRowHeight="10.5"/>
  <cols>
    <col min="1" max="1" width="0.82421875" style="58" hidden="1" customWidth="1"/>
    <col min="2" max="2" width="2" style="58" hidden="1" customWidth="1"/>
    <col min="3" max="3" width="2" style="58" customWidth="1"/>
    <col min="4" max="4" width="19.83203125" style="58" customWidth="1"/>
    <col min="5" max="5" width="13.83203125" style="58" customWidth="1"/>
    <col min="6" max="7" width="21.33203125" style="58" customWidth="1"/>
    <col min="8" max="8" width="16.66015625" style="58" customWidth="1"/>
    <col min="9" max="9" width="15.66015625" style="58" customWidth="1"/>
    <col min="10" max="10" width="16" style="58" customWidth="1"/>
    <col min="11" max="11" width="12" style="58" customWidth="1"/>
    <col min="12" max="12" width="19.66015625" style="58" bestFit="1" customWidth="1"/>
    <col min="13" max="16384" width="12" style="58" customWidth="1"/>
  </cols>
  <sheetData>
    <row r="1" ht="7.5" customHeight="1"/>
    <row r="2" spans="1:9" ht="7.5" customHeight="1">
      <c r="A2" s="67"/>
      <c r="B2" s="67"/>
      <c r="C2" s="67"/>
      <c r="D2" s="67"/>
      <c r="E2" s="67"/>
      <c r="F2" s="67"/>
      <c r="G2" s="67"/>
      <c r="H2" s="67"/>
      <c r="I2" s="67"/>
    </row>
    <row r="3" spans="1:9" ht="7.5" customHeight="1">
      <c r="A3" s="67"/>
      <c r="B3" s="67"/>
      <c r="C3" s="67"/>
      <c r="D3" s="67"/>
      <c r="E3" s="67"/>
      <c r="F3" s="67"/>
      <c r="G3" s="67"/>
      <c r="H3" s="67"/>
      <c r="I3" s="67"/>
    </row>
    <row r="4" spans="1:9" ht="7.5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9" ht="15">
      <c r="A5" s="67"/>
      <c r="B5" s="67"/>
      <c r="C5" s="67"/>
      <c r="D5" s="67"/>
      <c r="E5" s="67"/>
      <c r="F5" s="67"/>
      <c r="G5" s="68" t="s">
        <v>2</v>
      </c>
      <c r="H5" s="67"/>
      <c r="I5" s="67"/>
    </row>
    <row r="6" spans="1:9" ht="15">
      <c r="A6" s="67"/>
      <c r="B6" s="67"/>
      <c r="C6" s="67"/>
      <c r="D6" s="67"/>
      <c r="E6" s="67"/>
      <c r="F6" s="67"/>
      <c r="G6" s="68" t="s">
        <v>54</v>
      </c>
      <c r="H6" s="67"/>
      <c r="I6" s="67"/>
    </row>
    <row r="7" ht="6.75" customHeight="1"/>
    <row r="8" ht="14.25" hidden="1"/>
    <row r="9" ht="14.25" hidden="1"/>
    <row r="10" spans="4:9" ht="15" customHeight="1">
      <c r="D10" s="165" t="s">
        <v>27</v>
      </c>
      <c r="E10" s="166"/>
      <c r="F10" s="166"/>
      <c r="G10" s="166"/>
      <c r="H10" s="166"/>
      <c r="I10" s="167"/>
    </row>
    <row r="12" spans="4:9" ht="14.25">
      <c r="D12" s="156" t="s">
        <v>32</v>
      </c>
      <c r="E12" s="157"/>
      <c r="F12" s="157"/>
      <c r="G12" s="157"/>
      <c r="H12" s="157"/>
      <c r="I12" s="158"/>
    </row>
    <row r="13" spans="4:9" ht="14.25">
      <c r="D13" s="159"/>
      <c r="E13" s="160"/>
      <c r="F13" s="160"/>
      <c r="G13" s="160"/>
      <c r="H13" s="160"/>
      <c r="I13" s="161"/>
    </row>
    <row r="14" spans="4:9" ht="14.25">
      <c r="D14" s="159"/>
      <c r="E14" s="160"/>
      <c r="F14" s="160"/>
      <c r="G14" s="160"/>
      <c r="H14" s="160"/>
      <c r="I14" s="161"/>
    </row>
    <row r="15" spans="4:9" ht="14.25" hidden="1">
      <c r="D15" s="159"/>
      <c r="E15" s="160"/>
      <c r="F15" s="160"/>
      <c r="G15" s="160"/>
      <c r="H15" s="160"/>
      <c r="I15" s="161"/>
    </row>
    <row r="16" spans="4:9" ht="9.75" customHeight="1">
      <c r="D16" s="159"/>
      <c r="E16" s="160"/>
      <c r="F16" s="160"/>
      <c r="G16" s="160"/>
      <c r="H16" s="160"/>
      <c r="I16" s="161"/>
    </row>
    <row r="17" spans="4:9" ht="14.25">
      <c r="D17" s="162"/>
      <c r="E17" s="163"/>
      <c r="F17" s="163"/>
      <c r="G17" s="163"/>
      <c r="H17" s="163"/>
      <c r="I17" s="164"/>
    </row>
    <row r="19" spans="4:9" ht="14.25">
      <c r="D19" s="156" t="s">
        <v>33</v>
      </c>
      <c r="E19" s="157"/>
      <c r="F19" s="157"/>
      <c r="G19" s="157"/>
      <c r="H19" s="157"/>
      <c r="I19" s="158"/>
    </row>
    <row r="20" spans="4:9" ht="14.25">
      <c r="D20" s="159"/>
      <c r="E20" s="160"/>
      <c r="F20" s="160"/>
      <c r="G20" s="160"/>
      <c r="H20" s="160"/>
      <c r="I20" s="161"/>
    </row>
    <row r="21" spans="4:9" ht="14.25">
      <c r="D21" s="159"/>
      <c r="E21" s="160"/>
      <c r="F21" s="160"/>
      <c r="G21" s="160"/>
      <c r="H21" s="160"/>
      <c r="I21" s="161"/>
    </row>
    <row r="22" spans="4:9" ht="4.5" customHeight="1">
      <c r="D22" s="159"/>
      <c r="E22" s="160"/>
      <c r="F22" s="160"/>
      <c r="G22" s="160"/>
      <c r="H22" s="160"/>
      <c r="I22" s="161"/>
    </row>
    <row r="23" spans="4:9" ht="14.25" hidden="1">
      <c r="D23" s="159"/>
      <c r="E23" s="160"/>
      <c r="F23" s="160"/>
      <c r="G23" s="160"/>
      <c r="H23" s="160"/>
      <c r="I23" s="161"/>
    </row>
    <row r="24" spans="4:9" ht="2.25" customHeight="1">
      <c r="D24" s="162"/>
      <c r="E24" s="163"/>
      <c r="F24" s="163"/>
      <c r="G24" s="163"/>
      <c r="H24" s="163"/>
      <c r="I24" s="164"/>
    </row>
    <row r="26" spans="4:9" ht="14.25">
      <c r="D26" s="156" t="s">
        <v>34</v>
      </c>
      <c r="E26" s="157"/>
      <c r="F26" s="157"/>
      <c r="G26" s="157"/>
      <c r="H26" s="157"/>
      <c r="I26" s="158"/>
    </row>
    <row r="27" spans="4:9" ht="3.75" customHeight="1">
      <c r="D27" s="159"/>
      <c r="E27" s="160"/>
      <c r="F27" s="160"/>
      <c r="G27" s="160"/>
      <c r="H27" s="160"/>
      <c r="I27" s="161"/>
    </row>
    <row r="28" spans="4:9" ht="14.25" hidden="1">
      <c r="D28" s="159"/>
      <c r="E28" s="160"/>
      <c r="F28" s="160"/>
      <c r="G28" s="160"/>
      <c r="H28" s="160"/>
      <c r="I28" s="161"/>
    </row>
    <row r="29" spans="4:9" ht="14.25" hidden="1">
      <c r="D29" s="159"/>
      <c r="E29" s="160"/>
      <c r="F29" s="160"/>
      <c r="G29" s="160"/>
      <c r="H29" s="160"/>
      <c r="I29" s="161"/>
    </row>
    <row r="30" spans="4:9" ht="14.25" hidden="1">
      <c r="D30" s="159"/>
      <c r="E30" s="160"/>
      <c r="F30" s="160"/>
      <c r="G30" s="160"/>
      <c r="H30" s="160"/>
      <c r="I30" s="161"/>
    </row>
    <row r="31" spans="4:9" ht="9" customHeight="1">
      <c r="D31" s="162"/>
      <c r="E31" s="163"/>
      <c r="F31" s="163"/>
      <c r="G31" s="163"/>
      <c r="H31" s="163"/>
      <c r="I31" s="164"/>
    </row>
    <row r="36" ht="12" customHeight="1"/>
    <row r="37" spans="4:9" ht="14.25" hidden="1">
      <c r="D37" s="72" t="s">
        <v>49</v>
      </c>
      <c r="E37" s="73" t="s">
        <v>27</v>
      </c>
      <c r="F37" s="71"/>
      <c r="G37" s="71"/>
      <c r="H37" s="71"/>
      <c r="I37" s="71"/>
    </row>
    <row r="38" spans="4:9" ht="14.25" hidden="1">
      <c r="D38" s="72" t="s">
        <v>50</v>
      </c>
      <c r="E38" s="73" t="s">
        <v>32</v>
      </c>
      <c r="F38" s="71"/>
      <c r="G38" s="71"/>
      <c r="H38" s="71"/>
      <c r="I38" s="71"/>
    </row>
    <row r="39" spans="4:9" ht="14.25" hidden="1">
      <c r="D39" s="72" t="s">
        <v>51</v>
      </c>
      <c r="E39" s="73" t="s">
        <v>57</v>
      </c>
      <c r="F39" s="71"/>
      <c r="G39" s="71"/>
      <c r="H39" s="71"/>
      <c r="I39" s="71"/>
    </row>
    <row r="40" spans="4:9" ht="14.25" hidden="1">
      <c r="D40" s="72" t="s">
        <v>52</v>
      </c>
      <c r="E40" s="73" t="s">
        <v>34</v>
      </c>
      <c r="F40" s="71"/>
      <c r="G40" s="71"/>
      <c r="H40" s="71"/>
      <c r="I40" s="71"/>
    </row>
  </sheetData>
  <sheetProtection/>
  <mergeCells count="4">
    <mergeCell ref="D19:I24"/>
    <mergeCell ref="D26:I31"/>
    <mergeCell ref="D10:I10"/>
    <mergeCell ref="D12:I17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CONTADOR</cp:lastModifiedBy>
  <cp:lastPrinted>2021-02-11T20:06:03Z</cp:lastPrinted>
  <dcterms:created xsi:type="dcterms:W3CDTF">2018-11-28T13:03:28Z</dcterms:created>
  <dcterms:modified xsi:type="dcterms:W3CDTF">2022-02-10T03:23:12Z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